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4.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5.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drawings/drawing6.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7.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drawings/drawing8.xml" ContentType="application/vnd.openxmlformats-officedocument.drawing+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drawings/drawing9.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drawings/drawing10.xml" ContentType="application/vnd.openxmlformats-officedocument.drawing+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3820"/>
  <mc:AlternateContent xmlns:mc="http://schemas.openxmlformats.org/markup-compatibility/2006">
    <mc:Choice Requires="x15">
      <x15ac:absPath xmlns:x15ac="http://schemas.microsoft.com/office/spreadsheetml/2010/11/ac" url="H:\Advising\CLC\"/>
    </mc:Choice>
  </mc:AlternateContent>
  <bookViews>
    <workbookView xWindow="0" yWindow="0" windowWidth="28800" windowHeight="12300" activeTab="2"/>
  </bookViews>
  <sheets>
    <sheet name="Starting Page" sheetId="34" r:id="rId1"/>
    <sheet name="School Year Summary" sheetId="33" r:id="rId2"/>
    <sheet name="Sep" sheetId="21" r:id="rId3"/>
    <sheet name="Oct" sheetId="25" r:id="rId4"/>
    <sheet name="Nov" sheetId="26" r:id="rId5"/>
    <sheet name="Dec" sheetId="27" r:id="rId6"/>
    <sheet name="Jan" sheetId="28" r:id="rId7"/>
    <sheet name="Feb" sheetId="29" r:id="rId8"/>
    <sheet name="Mar" sheetId="30" r:id="rId9"/>
    <sheet name="Apr" sheetId="32" r:id="rId10"/>
  </sheets>
  <calcPr calcId="162913"/>
  <webPublishing codePage="1252"/>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16" i="32" l="1"/>
  <c r="E5" i="33" l="1"/>
  <c r="E4" i="32"/>
  <c r="E4" i="30"/>
  <c r="E6" i="30" s="1"/>
  <c r="E4" i="29"/>
  <c r="E6" i="29" s="1"/>
  <c r="E4" i="28"/>
  <c r="E4" i="27"/>
  <c r="E4" i="26"/>
  <c r="E6" i="26" s="1"/>
  <c r="E4" i="25"/>
  <c r="E6" i="25" s="1"/>
  <c r="E4" i="21"/>
  <c r="E8" i="33"/>
  <c r="E9" i="33"/>
  <c r="E7" i="33"/>
  <c r="C40" i="32"/>
  <c r="C43" i="32" s="1"/>
  <c r="C40" i="30"/>
  <c r="C40" i="29"/>
  <c r="C43" i="29" s="1"/>
  <c r="C40" i="28"/>
  <c r="C43" i="28" s="1"/>
  <c r="C40" i="27"/>
  <c r="C43" i="27" s="1"/>
  <c r="C40" i="26"/>
  <c r="C40" i="25"/>
  <c r="C43" i="25" s="1"/>
  <c r="C40" i="21"/>
  <c r="C20" i="32"/>
  <c r="C25" i="32" s="1"/>
  <c r="C20" i="30"/>
  <c r="C25" i="30" s="1"/>
  <c r="C20" i="29"/>
  <c r="C25" i="29" s="1"/>
  <c r="C20" i="28"/>
  <c r="C25" i="28" s="1"/>
  <c r="C20" i="27"/>
  <c r="C25" i="27" s="1"/>
  <c r="C20" i="26"/>
  <c r="C25" i="26" s="1"/>
  <c r="C20" i="25"/>
  <c r="C25" i="25" s="1"/>
  <c r="C20" i="21"/>
  <c r="D23" i="33"/>
  <c r="C23" i="33"/>
  <c r="C22" i="33"/>
  <c r="C24" i="33"/>
  <c r="C21" i="33"/>
  <c r="C42" i="33"/>
  <c r="C41" i="33"/>
  <c r="C12" i="33"/>
  <c r="I18" i="34"/>
  <c r="M31" i="33" s="1"/>
  <c r="D55" i="33"/>
  <c r="D56" i="33"/>
  <c r="D57" i="33"/>
  <c r="D58" i="33"/>
  <c r="D54" i="33"/>
  <c r="C55" i="33"/>
  <c r="C56" i="33"/>
  <c r="E56" i="33" s="1"/>
  <c r="C57" i="33"/>
  <c r="C58" i="33"/>
  <c r="C54" i="33"/>
  <c r="D47" i="33"/>
  <c r="D48" i="33"/>
  <c r="D49" i="33"/>
  <c r="D50" i="33"/>
  <c r="D46" i="33"/>
  <c r="C47" i="33"/>
  <c r="C48" i="33"/>
  <c r="E48" i="33" s="1"/>
  <c r="C49" i="33"/>
  <c r="C50" i="33"/>
  <c r="C46" i="33"/>
  <c r="D41" i="33"/>
  <c r="D42" i="33"/>
  <c r="D36" i="33"/>
  <c r="D37" i="33" s="1"/>
  <c r="C36" i="33"/>
  <c r="C37" i="33" s="1"/>
  <c r="D29" i="33"/>
  <c r="D30" i="33"/>
  <c r="D31" i="33"/>
  <c r="D32" i="33"/>
  <c r="C29" i="33"/>
  <c r="E29" i="33" s="1"/>
  <c r="C30" i="33"/>
  <c r="C31" i="33"/>
  <c r="C32" i="33"/>
  <c r="C28" i="33"/>
  <c r="D21" i="33"/>
  <c r="D22" i="33"/>
  <c r="D24" i="33"/>
  <c r="D20" i="33"/>
  <c r="D13" i="33"/>
  <c r="D16" i="33"/>
  <c r="C16" i="33"/>
  <c r="C14" i="33"/>
  <c r="C13" i="33"/>
  <c r="E13" i="33" s="1"/>
  <c r="C2" i="33"/>
  <c r="C2" i="21"/>
  <c r="L16" i="21"/>
  <c r="O16" i="21"/>
  <c r="X18" i="21"/>
  <c r="R22" i="21"/>
  <c r="D14" i="21" s="1"/>
  <c r="U22" i="21"/>
  <c r="I23" i="21"/>
  <c r="L29" i="21"/>
  <c r="O29" i="21"/>
  <c r="R29" i="21"/>
  <c r="U29" i="21"/>
  <c r="X29" i="21"/>
  <c r="L36" i="21"/>
  <c r="O36" i="21"/>
  <c r="U38" i="21"/>
  <c r="R40" i="21"/>
  <c r="X40" i="21"/>
  <c r="L46" i="21"/>
  <c r="U49" i="21"/>
  <c r="O53" i="21"/>
  <c r="R53" i="21"/>
  <c r="O60" i="21"/>
  <c r="U60" i="21"/>
  <c r="L61" i="21"/>
  <c r="R64" i="21"/>
  <c r="X64" i="21"/>
  <c r="O71" i="21"/>
  <c r="R71" i="21"/>
  <c r="U71" i="21"/>
  <c r="L72" i="21"/>
  <c r="X75" i="21"/>
  <c r="E47" i="33"/>
  <c r="E30" i="33"/>
  <c r="C2" i="29"/>
  <c r="C2" i="30"/>
  <c r="C2" i="32"/>
  <c r="X75" i="32"/>
  <c r="L72" i="32"/>
  <c r="U71" i="32"/>
  <c r="R71" i="32"/>
  <c r="D56" i="32" s="1"/>
  <c r="E56" i="32" s="1"/>
  <c r="O71" i="32"/>
  <c r="X64" i="32"/>
  <c r="D50" i="32" s="1"/>
  <c r="E50" i="32" s="1"/>
  <c r="R64" i="32"/>
  <c r="D48" i="32" s="1"/>
  <c r="E48" i="32" s="1"/>
  <c r="L61" i="32"/>
  <c r="U60" i="32"/>
  <c r="O60" i="32"/>
  <c r="C59" i="32"/>
  <c r="D58" i="32"/>
  <c r="E58" i="32" s="1"/>
  <c r="D57" i="32"/>
  <c r="E57" i="32" s="1"/>
  <c r="D55" i="32"/>
  <c r="D54" i="32"/>
  <c r="E54" i="32" s="1"/>
  <c r="R53" i="32"/>
  <c r="D41" i="32" s="1"/>
  <c r="E41" i="32" s="1"/>
  <c r="O53" i="32"/>
  <c r="D40" i="32" s="1"/>
  <c r="C51" i="32"/>
  <c r="U49" i="32"/>
  <c r="D49" i="32"/>
  <c r="E49" i="32" s="1"/>
  <c r="D47" i="32"/>
  <c r="E47" i="32" s="1"/>
  <c r="L46" i="32"/>
  <c r="D46" i="32"/>
  <c r="D51" i="32" s="1"/>
  <c r="D42" i="32"/>
  <c r="E42" i="32" s="1"/>
  <c r="X40" i="32"/>
  <c r="R40" i="32"/>
  <c r="D30" i="32" s="1"/>
  <c r="E30" i="32" s="1"/>
  <c r="U38" i="32"/>
  <c r="D31" i="32" s="1"/>
  <c r="E31" i="32" s="1"/>
  <c r="E37" i="32"/>
  <c r="C37" i="32"/>
  <c r="O36" i="32"/>
  <c r="D29" i="32" s="1"/>
  <c r="E29" i="32" s="1"/>
  <c r="L36" i="32"/>
  <c r="E36" i="32"/>
  <c r="D36" i="32"/>
  <c r="D37" i="32" s="1"/>
  <c r="C33" i="32"/>
  <c r="D32" i="32"/>
  <c r="E32" i="32" s="1"/>
  <c r="X29" i="32"/>
  <c r="D24" i="32" s="1"/>
  <c r="E24" i="32" s="1"/>
  <c r="U29" i="32"/>
  <c r="R29" i="32"/>
  <c r="O29" i="32"/>
  <c r="D21" i="32" s="1"/>
  <c r="E21" i="32" s="1"/>
  <c r="L29" i="32"/>
  <c r="D28" i="32"/>
  <c r="I23" i="32"/>
  <c r="D23" i="32"/>
  <c r="E23" i="32" s="1"/>
  <c r="U22" i="32"/>
  <c r="R22" i="32"/>
  <c r="D14" i="32" s="1"/>
  <c r="D22" i="32"/>
  <c r="E22" i="32" s="1"/>
  <c r="D20" i="32"/>
  <c r="X18" i="32"/>
  <c r="C17" i="32"/>
  <c r="O16" i="32"/>
  <c r="L16" i="32"/>
  <c r="E16" i="32"/>
  <c r="D15" i="32"/>
  <c r="E15" i="32" s="1"/>
  <c r="D13" i="32"/>
  <c r="E13" i="32" s="1"/>
  <c r="D12" i="32"/>
  <c r="E7" i="32"/>
  <c r="E9" i="32" s="1"/>
  <c r="E6" i="32"/>
  <c r="X75" i="30"/>
  <c r="L72" i="30"/>
  <c r="U71" i="30"/>
  <c r="R71" i="30"/>
  <c r="D56" i="30" s="1"/>
  <c r="E56" i="30" s="1"/>
  <c r="O71" i="30"/>
  <c r="X64" i="30"/>
  <c r="R64" i="30"/>
  <c r="D48" i="30" s="1"/>
  <c r="E48" i="30" s="1"/>
  <c r="L61" i="30"/>
  <c r="U60" i="30"/>
  <c r="O60" i="30"/>
  <c r="C59" i="30"/>
  <c r="D58" i="30"/>
  <c r="E58" i="30" s="1"/>
  <c r="D57" i="30"/>
  <c r="E57" i="30" s="1"/>
  <c r="D55" i="30"/>
  <c r="E55" i="30" s="1"/>
  <c r="D54" i="30"/>
  <c r="E54" i="30" s="1"/>
  <c r="R53" i="30"/>
  <c r="O53" i="30"/>
  <c r="D40" i="30" s="1"/>
  <c r="C51" i="30"/>
  <c r="E50" i="30"/>
  <c r="D50" i="30"/>
  <c r="U49" i="30"/>
  <c r="D49" i="30"/>
  <c r="E49" i="30" s="1"/>
  <c r="D47" i="30"/>
  <c r="E47" i="30" s="1"/>
  <c r="L46" i="30"/>
  <c r="D46" i="30"/>
  <c r="D51" i="30" s="1"/>
  <c r="C43" i="30"/>
  <c r="D42" i="30"/>
  <c r="E42" i="30" s="1"/>
  <c r="D41" i="30"/>
  <c r="E41" i="30" s="1"/>
  <c r="X40" i="30"/>
  <c r="R40" i="30"/>
  <c r="D30" i="30" s="1"/>
  <c r="E30" i="30" s="1"/>
  <c r="U38" i="30"/>
  <c r="C37" i="30"/>
  <c r="O36" i="30"/>
  <c r="L36" i="30"/>
  <c r="D36" i="30"/>
  <c r="D37" i="30" s="1"/>
  <c r="C33" i="30"/>
  <c r="E32" i="30"/>
  <c r="D32" i="30"/>
  <c r="E31" i="30"/>
  <c r="D31" i="30"/>
  <c r="X29" i="30"/>
  <c r="D24" i="30" s="1"/>
  <c r="E24" i="30" s="1"/>
  <c r="U29" i="30"/>
  <c r="R29" i="30"/>
  <c r="O29" i="30"/>
  <c r="L29" i="30"/>
  <c r="D29" i="30"/>
  <c r="E29" i="30" s="1"/>
  <c r="D28" i="30"/>
  <c r="D33" i="30" s="1"/>
  <c r="I23" i="30"/>
  <c r="D23" i="30"/>
  <c r="E23" i="30" s="1"/>
  <c r="U22" i="30"/>
  <c r="R22" i="30"/>
  <c r="D22" i="30"/>
  <c r="E22" i="30" s="1"/>
  <c r="D21" i="30"/>
  <c r="E21" i="30" s="1"/>
  <c r="D20" i="30"/>
  <c r="D25" i="30" s="1"/>
  <c r="X18" i="30"/>
  <c r="C17" i="30"/>
  <c r="O16" i="30"/>
  <c r="L16" i="30"/>
  <c r="D16" i="30"/>
  <c r="E16" i="30" s="1"/>
  <c r="D15" i="30"/>
  <c r="E15" i="30" s="1"/>
  <c r="D14" i="30"/>
  <c r="E14" i="30" s="1"/>
  <c r="D13" i="30"/>
  <c r="E13" i="30" s="1"/>
  <c r="D12" i="30"/>
  <c r="D17" i="30" s="1"/>
  <c r="E7" i="30"/>
  <c r="E9" i="30" s="1"/>
  <c r="X75" i="29"/>
  <c r="L72" i="29"/>
  <c r="U71" i="29"/>
  <c r="R71" i="29"/>
  <c r="D56" i="29" s="1"/>
  <c r="E56" i="29" s="1"/>
  <c r="O71" i="29"/>
  <c r="X64" i="29"/>
  <c r="D50" i="29" s="1"/>
  <c r="E50" i="29" s="1"/>
  <c r="R64" i="29"/>
  <c r="D48" i="29" s="1"/>
  <c r="E48" i="29" s="1"/>
  <c r="L61" i="29"/>
  <c r="U60" i="29"/>
  <c r="O60" i="29"/>
  <c r="C59" i="29"/>
  <c r="D58" i="29"/>
  <c r="E58" i="29" s="1"/>
  <c r="D57" i="29"/>
  <c r="E57" i="29" s="1"/>
  <c r="D55" i="29"/>
  <c r="D54" i="29"/>
  <c r="E54" i="29" s="1"/>
  <c r="R53" i="29"/>
  <c r="D41" i="29" s="1"/>
  <c r="E41" i="29" s="1"/>
  <c r="O53" i="29"/>
  <c r="D40" i="29" s="1"/>
  <c r="C51" i="29"/>
  <c r="U49" i="29"/>
  <c r="D49" i="29"/>
  <c r="E49" i="29" s="1"/>
  <c r="D47" i="29"/>
  <c r="E47" i="29" s="1"/>
  <c r="L46" i="29"/>
  <c r="D46" i="29"/>
  <c r="D51" i="29" s="1"/>
  <c r="D42" i="29"/>
  <c r="E42" i="29" s="1"/>
  <c r="X40" i="29"/>
  <c r="R40" i="29"/>
  <c r="D30" i="29" s="1"/>
  <c r="E30" i="29" s="1"/>
  <c r="U38" i="29"/>
  <c r="D31" i="29" s="1"/>
  <c r="E31" i="29" s="1"/>
  <c r="E37" i="29"/>
  <c r="C37" i="29"/>
  <c r="O36" i="29"/>
  <c r="D29" i="29" s="1"/>
  <c r="E29" i="29" s="1"/>
  <c r="L36" i="29"/>
  <c r="E36" i="29"/>
  <c r="D36" i="29"/>
  <c r="D37" i="29" s="1"/>
  <c r="C33" i="29"/>
  <c r="D32" i="29"/>
  <c r="E32" i="29" s="1"/>
  <c r="X29" i="29"/>
  <c r="D24" i="29" s="1"/>
  <c r="E24" i="29" s="1"/>
  <c r="U29" i="29"/>
  <c r="R29" i="29"/>
  <c r="O29" i="29"/>
  <c r="D21" i="29" s="1"/>
  <c r="E21" i="29" s="1"/>
  <c r="L29" i="29"/>
  <c r="D28" i="29"/>
  <c r="E28" i="29" s="1"/>
  <c r="I23" i="29"/>
  <c r="D23" i="29"/>
  <c r="E23" i="29" s="1"/>
  <c r="U22" i="29"/>
  <c r="R22" i="29"/>
  <c r="D22" i="29"/>
  <c r="E22" i="29" s="1"/>
  <c r="D20" i="29"/>
  <c r="X18" i="29"/>
  <c r="C17" i="29"/>
  <c r="O16" i="29"/>
  <c r="L16" i="29"/>
  <c r="D16" i="29"/>
  <c r="E16" i="29" s="1"/>
  <c r="D15" i="29"/>
  <c r="E15" i="29" s="1"/>
  <c r="D14" i="29"/>
  <c r="E14" i="29" s="1"/>
  <c r="E13" i="29"/>
  <c r="D13" i="29"/>
  <c r="D12" i="29"/>
  <c r="D17" i="29" s="1"/>
  <c r="E7" i="29"/>
  <c r="E9" i="29" s="1"/>
  <c r="C2" i="28"/>
  <c r="X75" i="28"/>
  <c r="L72" i="28"/>
  <c r="U71" i="28"/>
  <c r="R71" i="28"/>
  <c r="D56" i="28" s="1"/>
  <c r="O71" i="28"/>
  <c r="X64" i="28"/>
  <c r="D50" i="28" s="1"/>
  <c r="E50" i="28" s="1"/>
  <c r="R64" i="28"/>
  <c r="D48" i="28" s="1"/>
  <c r="E48" i="28" s="1"/>
  <c r="L61" i="28"/>
  <c r="U60" i="28"/>
  <c r="O60" i="28"/>
  <c r="C59" i="28"/>
  <c r="D58" i="28"/>
  <c r="E58" i="28" s="1"/>
  <c r="D57" i="28"/>
  <c r="E57" i="28" s="1"/>
  <c r="D55" i="28"/>
  <c r="E55" i="28" s="1"/>
  <c r="D54" i="28"/>
  <c r="E54" i="28" s="1"/>
  <c r="R53" i="28"/>
  <c r="D41" i="28" s="1"/>
  <c r="E41" i="28" s="1"/>
  <c r="O53" i="28"/>
  <c r="D40" i="28" s="1"/>
  <c r="C51" i="28"/>
  <c r="U49" i="28"/>
  <c r="D49" i="28"/>
  <c r="E49" i="28" s="1"/>
  <c r="D47" i="28"/>
  <c r="E47" i="28" s="1"/>
  <c r="L46" i="28"/>
  <c r="D46" i="28"/>
  <c r="D51" i="28" s="1"/>
  <c r="D42" i="28"/>
  <c r="E42" i="28" s="1"/>
  <c r="X40" i="28"/>
  <c r="R40" i="28"/>
  <c r="D30" i="28" s="1"/>
  <c r="E30" i="28" s="1"/>
  <c r="U38" i="28"/>
  <c r="D31" i="28" s="1"/>
  <c r="E31" i="28" s="1"/>
  <c r="C37" i="28"/>
  <c r="O36" i="28"/>
  <c r="D29" i="28" s="1"/>
  <c r="E29" i="28" s="1"/>
  <c r="L36" i="28"/>
  <c r="D36" i="28"/>
  <c r="D37" i="28" s="1"/>
  <c r="C33" i="28"/>
  <c r="D32" i="28"/>
  <c r="E32" i="28" s="1"/>
  <c r="X29" i="28"/>
  <c r="D24" i="28" s="1"/>
  <c r="E24" i="28" s="1"/>
  <c r="U29" i="28"/>
  <c r="R29" i="28"/>
  <c r="O29" i="28"/>
  <c r="D21" i="28" s="1"/>
  <c r="E21" i="28" s="1"/>
  <c r="L29" i="28"/>
  <c r="D28" i="28"/>
  <c r="E28" i="28" s="1"/>
  <c r="E33" i="28" s="1"/>
  <c r="I23" i="28"/>
  <c r="D23" i="28"/>
  <c r="E23" i="28" s="1"/>
  <c r="U22" i="28"/>
  <c r="R22" i="28"/>
  <c r="D22" i="28"/>
  <c r="E22" i="28" s="1"/>
  <c r="D20" i="28"/>
  <c r="X18" i="28"/>
  <c r="O16" i="28"/>
  <c r="L16" i="28"/>
  <c r="D16" i="28"/>
  <c r="E16" i="28" s="1"/>
  <c r="E15" i="28"/>
  <c r="D15" i="28"/>
  <c r="D14" i="28"/>
  <c r="E14" i="28" s="1"/>
  <c r="E13" i="28"/>
  <c r="D13" i="28"/>
  <c r="D12" i="28"/>
  <c r="D17" i="28" s="1"/>
  <c r="E7" i="28"/>
  <c r="E9" i="28" s="1"/>
  <c r="E6" i="28"/>
  <c r="C2" i="27"/>
  <c r="C2" i="26"/>
  <c r="X75" i="27"/>
  <c r="L72" i="27"/>
  <c r="U71" i="27"/>
  <c r="R71" i="27"/>
  <c r="D56" i="27" s="1"/>
  <c r="E56" i="27" s="1"/>
  <c r="O71" i="27"/>
  <c r="X64" i="27"/>
  <c r="D50" i="27" s="1"/>
  <c r="E50" i="27" s="1"/>
  <c r="R64" i="27"/>
  <c r="D48" i="27" s="1"/>
  <c r="E48" i="27" s="1"/>
  <c r="L61" i="27"/>
  <c r="U60" i="27"/>
  <c r="O60" i="27"/>
  <c r="C59" i="27"/>
  <c r="D58" i="27"/>
  <c r="E58" i="27" s="1"/>
  <c r="D57" i="27"/>
  <c r="E57" i="27" s="1"/>
  <c r="D55" i="27"/>
  <c r="D54" i="27"/>
  <c r="E54" i="27" s="1"/>
  <c r="R53" i="27"/>
  <c r="D41" i="27" s="1"/>
  <c r="E41" i="27" s="1"/>
  <c r="O53" i="27"/>
  <c r="D40" i="27" s="1"/>
  <c r="C51" i="27"/>
  <c r="U49" i="27"/>
  <c r="D49" i="27"/>
  <c r="E49" i="27" s="1"/>
  <c r="D47" i="27"/>
  <c r="E47" i="27" s="1"/>
  <c r="L46" i="27"/>
  <c r="D46" i="27"/>
  <c r="D51" i="27" s="1"/>
  <c r="D42" i="27"/>
  <c r="E42" i="27" s="1"/>
  <c r="X40" i="27"/>
  <c r="R40" i="27"/>
  <c r="D30" i="27" s="1"/>
  <c r="E30" i="27" s="1"/>
  <c r="U38" i="27"/>
  <c r="D31" i="27" s="1"/>
  <c r="E31" i="27" s="1"/>
  <c r="E37" i="27"/>
  <c r="C37" i="27"/>
  <c r="O36" i="27"/>
  <c r="D29" i="27" s="1"/>
  <c r="E29" i="27" s="1"/>
  <c r="L36" i="27"/>
  <c r="E36" i="27"/>
  <c r="D36" i="27"/>
  <c r="D37" i="27" s="1"/>
  <c r="C33" i="27"/>
  <c r="D32" i="27"/>
  <c r="E32" i="27" s="1"/>
  <c r="X29" i="27"/>
  <c r="D24" i="27" s="1"/>
  <c r="E24" i="27" s="1"/>
  <c r="U29" i="27"/>
  <c r="R29" i="27"/>
  <c r="O29" i="27"/>
  <c r="D21" i="27" s="1"/>
  <c r="E21" i="27" s="1"/>
  <c r="L29" i="27"/>
  <c r="D28" i="27"/>
  <c r="E28" i="27" s="1"/>
  <c r="I23" i="27"/>
  <c r="D23" i="27"/>
  <c r="E23" i="27" s="1"/>
  <c r="U22" i="27"/>
  <c r="R22" i="27"/>
  <c r="D22" i="27"/>
  <c r="E22" i="27" s="1"/>
  <c r="D20" i="27"/>
  <c r="X18" i="27"/>
  <c r="C17" i="27"/>
  <c r="O16" i="27"/>
  <c r="L16" i="27"/>
  <c r="D16" i="27"/>
  <c r="E16" i="27" s="1"/>
  <c r="D15" i="27"/>
  <c r="E15" i="27" s="1"/>
  <c r="D14" i="27"/>
  <c r="E14" i="27" s="1"/>
  <c r="E13" i="27"/>
  <c r="D13" i="27"/>
  <c r="D12" i="27"/>
  <c r="E12" i="27" s="1"/>
  <c r="E7" i="27"/>
  <c r="E9" i="27" s="1"/>
  <c r="E6" i="27"/>
  <c r="X75" i="26"/>
  <c r="L72" i="26"/>
  <c r="U71" i="26"/>
  <c r="R71" i="26"/>
  <c r="D56" i="26" s="1"/>
  <c r="E56" i="26" s="1"/>
  <c r="O71" i="26"/>
  <c r="X64" i="26"/>
  <c r="D50" i="26" s="1"/>
  <c r="E50" i="26" s="1"/>
  <c r="R64" i="26"/>
  <c r="D48" i="26" s="1"/>
  <c r="E48" i="26" s="1"/>
  <c r="L61" i="26"/>
  <c r="U60" i="26"/>
  <c r="O60" i="26"/>
  <c r="C59" i="26"/>
  <c r="D58" i="26"/>
  <c r="E58" i="26" s="1"/>
  <c r="D57" i="26"/>
  <c r="E57" i="26" s="1"/>
  <c r="D55" i="26"/>
  <c r="D54" i="26"/>
  <c r="E54" i="26" s="1"/>
  <c r="R53" i="26"/>
  <c r="D41" i="26" s="1"/>
  <c r="E41" i="26" s="1"/>
  <c r="O53" i="26"/>
  <c r="D40" i="26" s="1"/>
  <c r="D40" i="33" s="1"/>
  <c r="C51" i="26"/>
  <c r="U49" i="26"/>
  <c r="D49" i="26"/>
  <c r="E49" i="26" s="1"/>
  <c r="D47" i="26"/>
  <c r="E47" i="26" s="1"/>
  <c r="L46" i="26"/>
  <c r="D46" i="26"/>
  <c r="D51" i="26" s="1"/>
  <c r="C43" i="26"/>
  <c r="D42" i="26"/>
  <c r="E42" i="26" s="1"/>
  <c r="X40" i="26"/>
  <c r="R40" i="26"/>
  <c r="D30" i="26" s="1"/>
  <c r="E30" i="26" s="1"/>
  <c r="U38" i="26"/>
  <c r="D31" i="26" s="1"/>
  <c r="E31" i="26" s="1"/>
  <c r="E37" i="26"/>
  <c r="C37" i="26"/>
  <c r="O36" i="26"/>
  <c r="D29" i="26" s="1"/>
  <c r="E29" i="26" s="1"/>
  <c r="L36" i="26"/>
  <c r="E36" i="26"/>
  <c r="D36" i="26"/>
  <c r="D37" i="26" s="1"/>
  <c r="C33" i="26"/>
  <c r="D32" i="26"/>
  <c r="E32" i="26" s="1"/>
  <c r="X29" i="26"/>
  <c r="D24" i="26" s="1"/>
  <c r="E24" i="26" s="1"/>
  <c r="U29" i="26"/>
  <c r="R29" i="26"/>
  <c r="O29" i="26"/>
  <c r="D21" i="26" s="1"/>
  <c r="E21" i="26" s="1"/>
  <c r="L29" i="26"/>
  <c r="D28" i="26"/>
  <c r="E28" i="26" s="1"/>
  <c r="I23" i="26"/>
  <c r="D23" i="26"/>
  <c r="E23" i="26" s="1"/>
  <c r="U22" i="26"/>
  <c r="D15" i="26" s="1"/>
  <c r="R22" i="26"/>
  <c r="D22" i="26"/>
  <c r="E22" i="26" s="1"/>
  <c r="D20" i="26"/>
  <c r="X18" i="26"/>
  <c r="C17" i="26"/>
  <c r="O16" i="26"/>
  <c r="L16" i="26"/>
  <c r="D16" i="26"/>
  <c r="E16" i="26" s="1"/>
  <c r="D14" i="26"/>
  <c r="E14" i="26" s="1"/>
  <c r="E13" i="26"/>
  <c r="D13" i="26"/>
  <c r="D12" i="26"/>
  <c r="E12" i="26" s="1"/>
  <c r="E7" i="26"/>
  <c r="E9" i="26" s="1"/>
  <c r="C2" i="25"/>
  <c r="X75" i="25"/>
  <c r="L72" i="25"/>
  <c r="U71" i="25"/>
  <c r="R71" i="25"/>
  <c r="D56" i="25" s="1"/>
  <c r="E56" i="25" s="1"/>
  <c r="O71" i="25"/>
  <c r="X64" i="25"/>
  <c r="R64" i="25"/>
  <c r="D48" i="25" s="1"/>
  <c r="E48" i="25" s="1"/>
  <c r="L61" i="25"/>
  <c r="U60" i="25"/>
  <c r="O60" i="25"/>
  <c r="C59" i="25"/>
  <c r="D58" i="25"/>
  <c r="E58" i="25" s="1"/>
  <c r="D57" i="25"/>
  <c r="E57" i="25" s="1"/>
  <c r="D55" i="25"/>
  <c r="E55" i="25" s="1"/>
  <c r="D54" i="25"/>
  <c r="E54" i="25" s="1"/>
  <c r="R53" i="25"/>
  <c r="O53" i="25"/>
  <c r="D40" i="25" s="1"/>
  <c r="C51" i="25"/>
  <c r="E50" i="25"/>
  <c r="D50" i="25"/>
  <c r="U49" i="25"/>
  <c r="D49" i="25"/>
  <c r="E49" i="25" s="1"/>
  <c r="D47" i="25"/>
  <c r="E47" i="25" s="1"/>
  <c r="L46" i="25"/>
  <c r="D46" i="25"/>
  <c r="D51" i="25" s="1"/>
  <c r="D42" i="25"/>
  <c r="E42" i="25" s="1"/>
  <c r="D41" i="25"/>
  <c r="E41" i="25" s="1"/>
  <c r="X40" i="25"/>
  <c r="R40" i="25"/>
  <c r="D30" i="25" s="1"/>
  <c r="E30" i="25" s="1"/>
  <c r="U38" i="25"/>
  <c r="C37" i="25"/>
  <c r="O36" i="25"/>
  <c r="L36" i="25"/>
  <c r="D28" i="25" s="1"/>
  <c r="D36" i="25"/>
  <c r="D37" i="25" s="1"/>
  <c r="C33" i="25"/>
  <c r="E32" i="25"/>
  <c r="D32" i="25"/>
  <c r="E31" i="25"/>
  <c r="D31" i="25"/>
  <c r="X29" i="25"/>
  <c r="D24" i="25" s="1"/>
  <c r="E24" i="25" s="1"/>
  <c r="U29" i="25"/>
  <c r="R29" i="25"/>
  <c r="O29" i="25"/>
  <c r="L29" i="25"/>
  <c r="D29" i="25"/>
  <c r="E29" i="25" s="1"/>
  <c r="I23" i="25"/>
  <c r="D23" i="25"/>
  <c r="E23" i="25" s="1"/>
  <c r="U22" i="25"/>
  <c r="R22" i="25"/>
  <c r="D22" i="25"/>
  <c r="E22" i="25" s="1"/>
  <c r="D21" i="25"/>
  <c r="E21" i="25" s="1"/>
  <c r="D20" i="25"/>
  <c r="D25" i="25" s="1"/>
  <c r="X18" i="25"/>
  <c r="C17" i="25"/>
  <c r="O16" i="25"/>
  <c r="L16" i="25"/>
  <c r="D12" i="25" s="1"/>
  <c r="D17" i="25" s="1"/>
  <c r="D16" i="25"/>
  <c r="E16" i="25" s="1"/>
  <c r="D15" i="25"/>
  <c r="E15" i="25" s="1"/>
  <c r="D14" i="25"/>
  <c r="E14" i="25" s="1"/>
  <c r="D13" i="25"/>
  <c r="E13" i="25" s="1"/>
  <c r="E7" i="25"/>
  <c r="E9" i="25" s="1"/>
  <c r="E14" i="32" l="1"/>
  <c r="D17" i="32"/>
  <c r="E15" i="26"/>
  <c r="D15" i="33"/>
  <c r="E17" i="26"/>
  <c r="E20" i="27"/>
  <c r="E25" i="27" s="1"/>
  <c r="E20" i="32"/>
  <c r="E25" i="32" s="1"/>
  <c r="E4" i="33"/>
  <c r="C40" i="33"/>
  <c r="C43" i="33" s="1"/>
  <c r="E23" i="33"/>
  <c r="C33" i="33"/>
  <c r="E16" i="33"/>
  <c r="E20" i="26"/>
  <c r="E25" i="26" s="1"/>
  <c r="C20" i="33"/>
  <c r="C25" i="33" s="1"/>
  <c r="E20" i="29"/>
  <c r="E25" i="29" s="1"/>
  <c r="E62" i="32"/>
  <c r="L4" i="32" s="1"/>
  <c r="E42" i="33"/>
  <c r="E41" i="33"/>
  <c r="E62" i="29"/>
  <c r="L4" i="29" s="1"/>
  <c r="E20" i="28"/>
  <c r="E25" i="28" s="1"/>
  <c r="E62" i="25"/>
  <c r="L4" i="25" s="1"/>
  <c r="E62" i="30"/>
  <c r="L4" i="30" s="1"/>
  <c r="E62" i="27"/>
  <c r="L4" i="27" s="1"/>
  <c r="E62" i="26"/>
  <c r="L4" i="26" s="1"/>
  <c r="E22" i="33"/>
  <c r="E21" i="33"/>
  <c r="E49" i="33"/>
  <c r="D51" i="33"/>
  <c r="E31" i="33"/>
  <c r="E55" i="33"/>
  <c r="D25" i="33"/>
  <c r="E57" i="33"/>
  <c r="E58" i="33"/>
  <c r="C59" i="33"/>
  <c r="E54" i="33"/>
  <c r="E50" i="33"/>
  <c r="C51" i="33"/>
  <c r="D33" i="25"/>
  <c r="D28" i="33"/>
  <c r="E28" i="33" s="1"/>
  <c r="E32" i="33"/>
  <c r="E24" i="33"/>
  <c r="D12" i="33"/>
  <c r="D43" i="33"/>
  <c r="D59" i="33"/>
  <c r="E46" i="33"/>
  <c r="E36" i="33"/>
  <c r="E37" i="33" s="1"/>
  <c r="D33" i="32"/>
  <c r="D59" i="32"/>
  <c r="D43" i="32"/>
  <c r="E40" i="32"/>
  <c r="E43" i="32" s="1"/>
  <c r="E28" i="32"/>
  <c r="E33" i="32" s="1"/>
  <c r="E55" i="32"/>
  <c r="E59" i="32" s="1"/>
  <c r="D25" i="32"/>
  <c r="E64" i="32" s="1"/>
  <c r="L6" i="32" s="1"/>
  <c r="E46" i="32"/>
  <c r="E51" i="32" s="1"/>
  <c r="E12" i="32"/>
  <c r="E17" i="32" s="1"/>
  <c r="E59" i="30"/>
  <c r="D43" i="30"/>
  <c r="E64" i="30" s="1"/>
  <c r="L6" i="30" s="1"/>
  <c r="E40" i="30"/>
  <c r="E43" i="30" s="1"/>
  <c r="E12" i="30"/>
  <c r="E17" i="30" s="1"/>
  <c r="E20" i="30"/>
  <c r="E25" i="30" s="1"/>
  <c r="E28" i="30"/>
  <c r="E33" i="30" s="1"/>
  <c r="D59" i="30"/>
  <c r="E46" i="30"/>
  <c r="E51" i="30" s="1"/>
  <c r="E36" i="30"/>
  <c r="E37" i="30" s="1"/>
  <c r="E33" i="29"/>
  <c r="D59" i="29"/>
  <c r="D43" i="29"/>
  <c r="E40" i="29"/>
  <c r="E43" i="29" s="1"/>
  <c r="D33" i="29"/>
  <c r="E12" i="29"/>
  <c r="E17" i="29" s="1"/>
  <c r="E55" i="29"/>
  <c r="E59" i="29" s="1"/>
  <c r="D25" i="29"/>
  <c r="E64" i="29" s="1"/>
  <c r="L6" i="29" s="1"/>
  <c r="E46" i="29"/>
  <c r="E51" i="29" s="1"/>
  <c r="E56" i="28"/>
  <c r="D59" i="28"/>
  <c r="E59" i="28"/>
  <c r="D43" i="28"/>
  <c r="E40" i="28"/>
  <c r="E43" i="28" s="1"/>
  <c r="D25" i="28"/>
  <c r="E64" i="28" s="1"/>
  <c r="L6" i="28" s="1"/>
  <c r="E46" i="28"/>
  <c r="E51" i="28" s="1"/>
  <c r="D33" i="28"/>
  <c r="E36" i="28"/>
  <c r="E37" i="28" s="1"/>
  <c r="E33" i="27"/>
  <c r="D59" i="27"/>
  <c r="E17" i="27"/>
  <c r="D43" i="27"/>
  <c r="E40" i="27"/>
  <c r="E43" i="27" s="1"/>
  <c r="D17" i="27"/>
  <c r="E55" i="27"/>
  <c r="E59" i="27" s="1"/>
  <c r="D25" i="27"/>
  <c r="E46" i="27"/>
  <c r="E51" i="27" s="1"/>
  <c r="D33" i="27"/>
  <c r="E33" i="26"/>
  <c r="D59" i="26"/>
  <c r="D43" i="26"/>
  <c r="E40" i="26"/>
  <c r="E43" i="26" s="1"/>
  <c r="D17" i="26"/>
  <c r="E55" i="26"/>
  <c r="E59" i="26" s="1"/>
  <c r="D25" i="26"/>
  <c r="E46" i="26"/>
  <c r="E51" i="26" s="1"/>
  <c r="D33" i="26"/>
  <c r="E59" i="25"/>
  <c r="D43" i="25"/>
  <c r="E40" i="25"/>
  <c r="E43" i="25" s="1"/>
  <c r="E12" i="25"/>
  <c r="E17" i="25" s="1"/>
  <c r="E20" i="25"/>
  <c r="E25" i="25" s="1"/>
  <c r="E28" i="25"/>
  <c r="E33" i="25" s="1"/>
  <c r="D59" i="25"/>
  <c r="E46" i="25"/>
  <c r="E51" i="25" s="1"/>
  <c r="E36" i="25"/>
  <c r="E37" i="25" s="1"/>
  <c r="E20" i="33" l="1"/>
  <c r="E40" i="33"/>
  <c r="E43" i="33" s="1"/>
  <c r="L8" i="32"/>
  <c r="L8" i="30"/>
  <c r="L8" i="29"/>
  <c r="E59" i="33"/>
  <c r="E25" i="33"/>
  <c r="E33" i="33"/>
  <c r="E51" i="33"/>
  <c r="D33" i="33"/>
  <c r="E64" i="25"/>
  <c r="L6" i="25" s="1"/>
  <c r="E12" i="33"/>
  <c r="E66" i="32"/>
  <c r="E66" i="30"/>
  <c r="E66" i="29"/>
  <c r="E64" i="27"/>
  <c r="L6" i="27" s="1"/>
  <c r="L8" i="27" s="1"/>
  <c r="E66" i="27"/>
  <c r="E66" i="26"/>
  <c r="E64" i="26"/>
  <c r="L6" i="26" s="1"/>
  <c r="L8" i="26" s="1"/>
  <c r="L8" i="25"/>
  <c r="E66" i="25"/>
  <c r="D20" i="21"/>
  <c r="D58" i="21"/>
  <c r="D57" i="21"/>
  <c r="D55" i="21"/>
  <c r="D56" i="21"/>
  <c r="D54" i="21"/>
  <c r="D50" i="21"/>
  <c r="D48" i="21"/>
  <c r="D49" i="21"/>
  <c r="D47" i="21"/>
  <c r="D46" i="21"/>
  <c r="D42" i="21"/>
  <c r="D41" i="21"/>
  <c r="D40" i="21"/>
  <c r="D36" i="21"/>
  <c r="D32" i="21"/>
  <c r="D31" i="21"/>
  <c r="D30" i="21"/>
  <c r="D29" i="21"/>
  <c r="D28" i="21"/>
  <c r="D23" i="21"/>
  <c r="D22" i="21"/>
  <c r="D24" i="21"/>
  <c r="D21" i="21"/>
  <c r="D16" i="21"/>
  <c r="E16" i="21" s="1"/>
  <c r="D15" i="21"/>
  <c r="E15" i="21" s="1"/>
  <c r="D13" i="21"/>
  <c r="E13" i="21" s="1"/>
  <c r="D12" i="21"/>
  <c r="E7" i="21"/>
  <c r="E14" i="21" l="1"/>
  <c r="D14" i="33"/>
  <c r="D17" i="21"/>
  <c r="E40" i="21"/>
  <c r="E28" i="21"/>
  <c r="E21" i="21"/>
  <c r="E23" i="21"/>
  <c r="E56" i="21"/>
  <c r="E32" i="21"/>
  <c r="E22" i="21"/>
  <c r="D37" i="21"/>
  <c r="E46" i="21"/>
  <c r="E48" i="21"/>
  <c r="C51" i="21"/>
  <c r="E50" i="21"/>
  <c r="E49" i="21"/>
  <c r="C43" i="21"/>
  <c r="E42" i="21"/>
  <c r="C37" i="21"/>
  <c r="E36" i="21"/>
  <c r="C33" i="21"/>
  <c r="E31" i="21"/>
  <c r="C25" i="21"/>
  <c r="C59" i="21"/>
  <c r="E24" i="21"/>
  <c r="E58" i="21"/>
  <c r="E57" i="21"/>
  <c r="E55" i="21"/>
  <c r="E54" i="21"/>
  <c r="E6" i="21"/>
  <c r="E6" i="33" s="1"/>
  <c r="E9" i="21"/>
  <c r="E30" i="21"/>
  <c r="E14" i="33" l="1"/>
  <c r="D17" i="33"/>
  <c r="E64" i="33" s="1"/>
  <c r="M16" i="33"/>
  <c r="E20" i="21"/>
  <c r="E25" i="21" s="1"/>
  <c r="D25" i="21"/>
  <c r="E37" i="21"/>
  <c r="D59" i="21"/>
  <c r="E59" i="21"/>
  <c r="E47" i="21"/>
  <c r="E51" i="21" s="1"/>
  <c r="D51" i="21"/>
  <c r="D33" i="21"/>
  <c r="E29" i="21"/>
  <c r="E33" i="21" s="1"/>
  <c r="E41" i="21"/>
  <c r="E43" i="21" s="1"/>
  <c r="D43" i="21"/>
  <c r="L6" i="33" l="1"/>
  <c r="M27" i="33"/>
  <c r="M35" i="33" s="1"/>
  <c r="E64" i="21"/>
  <c r="L6" i="21" s="1"/>
  <c r="C12" i="28"/>
  <c r="E12" i="28" s="1"/>
  <c r="C15" i="33"/>
  <c r="C17" i="33" s="1"/>
  <c r="E62" i="33" s="1"/>
  <c r="M12" i="33" s="1"/>
  <c r="M20" i="33" s="1"/>
  <c r="C12" i="21"/>
  <c r="L4" i="33" l="1"/>
  <c r="L8" i="33" s="1"/>
  <c r="E12" i="21"/>
  <c r="E17" i="21" s="1"/>
  <c r="E66" i="21" s="1"/>
  <c r="C17" i="28"/>
  <c r="E62" i="28" s="1"/>
  <c r="L4" i="28" s="1"/>
  <c r="L8" i="28" s="1"/>
  <c r="E17" i="28"/>
  <c r="E66" i="28" s="1"/>
  <c r="C17" i="21"/>
  <c r="E62" i="21" s="1"/>
  <c r="L4" i="21" s="1"/>
  <c r="L8" i="21" s="1"/>
  <c r="E15" i="33"/>
  <c r="E17" i="33" s="1"/>
  <c r="E66" i="33" s="1"/>
</calcChain>
</file>

<file path=xl/sharedStrings.xml><?xml version="1.0" encoding="utf-8"?>
<sst xmlns="http://schemas.openxmlformats.org/spreadsheetml/2006/main" count="1953" uniqueCount="112">
  <si>
    <t>Projected Cost</t>
  </si>
  <si>
    <t>Actual Cost</t>
  </si>
  <si>
    <t>Difference</t>
  </si>
  <si>
    <t>Income 1</t>
  </si>
  <si>
    <t>Phone</t>
  </si>
  <si>
    <t>Supplies</t>
  </si>
  <si>
    <t>Other</t>
  </si>
  <si>
    <t>Insurance</t>
  </si>
  <si>
    <t>Fuel</t>
  </si>
  <si>
    <t>Maintenance</t>
  </si>
  <si>
    <t>Groceries</t>
  </si>
  <si>
    <t>Food</t>
  </si>
  <si>
    <t>Medical</t>
  </si>
  <si>
    <t>Clothing</t>
  </si>
  <si>
    <t>Hair/nails</t>
  </si>
  <si>
    <t>Dining out</t>
  </si>
  <si>
    <t>Movies</t>
  </si>
  <si>
    <t>Concerts</t>
  </si>
  <si>
    <t>Extra income</t>
  </si>
  <si>
    <t>Total monthly income</t>
  </si>
  <si>
    <t>Vehicle payment</t>
  </si>
  <si>
    <t>Sporting events</t>
  </si>
  <si>
    <t>HOUSING</t>
  </si>
  <si>
    <t>ENTERTAINMENT</t>
  </si>
  <si>
    <t>TRANSPORTATION</t>
  </si>
  <si>
    <t>INSURANCE</t>
  </si>
  <si>
    <t>FOOD</t>
  </si>
  <si>
    <t>PERSONAL CARE</t>
  </si>
  <si>
    <t>ACTUAL MONTHLY INCOME</t>
  </si>
  <si>
    <t>PROJECTED MONTHLY INCOME</t>
  </si>
  <si>
    <t>TOTAL PROJECTED COST</t>
  </si>
  <si>
    <t>TOTAL ACTUAL COST</t>
  </si>
  <si>
    <t>TOTAL DIFFERENCE</t>
  </si>
  <si>
    <t>Total</t>
  </si>
  <si>
    <t>PROJECTED BALANCE (Projected income minus expenses)</t>
  </si>
  <si>
    <t>ACTUAL BALANCE (Actual income minus expenses)</t>
  </si>
  <si>
    <t>DIFFERENCE (Actual minus projected)</t>
  </si>
  <si>
    <t>Cable/Internet</t>
  </si>
  <si>
    <t>Purchase</t>
  </si>
  <si>
    <t>Vehicle Payment</t>
  </si>
  <si>
    <t>Dining Out</t>
  </si>
  <si>
    <t>Gifts</t>
  </si>
  <si>
    <t>Income</t>
  </si>
  <si>
    <t>Cineplex</t>
  </si>
  <si>
    <t>Part Time Job</t>
  </si>
  <si>
    <t>Savings</t>
  </si>
  <si>
    <t>Amount</t>
  </si>
  <si>
    <t>Utilities</t>
  </si>
  <si>
    <t>Rent</t>
  </si>
  <si>
    <t>Gym</t>
  </si>
  <si>
    <t>Tuition</t>
  </si>
  <si>
    <t>Additional Fees</t>
  </si>
  <si>
    <t>Books/Course Materials</t>
  </si>
  <si>
    <t>First Semester</t>
  </si>
  <si>
    <t>Books</t>
  </si>
  <si>
    <t>Textbook 1</t>
  </si>
  <si>
    <t>Library</t>
  </si>
  <si>
    <t>Binders</t>
  </si>
  <si>
    <t>Housing</t>
  </si>
  <si>
    <t>Provider</t>
  </si>
  <si>
    <t>Hydro</t>
  </si>
  <si>
    <t>Cleaning Supplies</t>
  </si>
  <si>
    <t>Bus/taxi/train</t>
  </si>
  <si>
    <t>Transportation</t>
  </si>
  <si>
    <t>Payment</t>
  </si>
  <si>
    <t>Station</t>
  </si>
  <si>
    <t>Ticket price</t>
  </si>
  <si>
    <t>Canadian Tire</t>
  </si>
  <si>
    <t>Rental Insurance</t>
  </si>
  <si>
    <t>Grocery Store</t>
  </si>
  <si>
    <t>Fast Food</t>
  </si>
  <si>
    <t>Hair/Nails</t>
  </si>
  <si>
    <t>Birthday</t>
  </si>
  <si>
    <t>Salon</t>
  </si>
  <si>
    <t>Mall</t>
  </si>
  <si>
    <t>Personal Care</t>
  </si>
  <si>
    <t>Entertainment</t>
  </si>
  <si>
    <t>Sporting Events</t>
  </si>
  <si>
    <t>Local Show</t>
  </si>
  <si>
    <t>Hockey Game</t>
  </si>
  <si>
    <t>SCHOOL</t>
  </si>
  <si>
    <t>Gifts for friends/family</t>
  </si>
  <si>
    <t>Clinic</t>
  </si>
  <si>
    <t>How Much Money Do you Have?</t>
  </si>
  <si>
    <t>RESPs/Parent Contribution</t>
  </si>
  <si>
    <t>University Scholarship</t>
  </si>
  <si>
    <t>Living Situation</t>
  </si>
  <si>
    <t>Are you living in Residence this year?</t>
  </si>
  <si>
    <t>Please Answer</t>
  </si>
  <si>
    <t>Yes</t>
  </si>
  <si>
    <t>No</t>
  </si>
  <si>
    <t>What is your tuition cost for the year?</t>
  </si>
  <si>
    <t>Groceries/Meal Plan</t>
  </si>
  <si>
    <r>
      <t xml:space="preserve">If </t>
    </r>
    <r>
      <rPr>
        <b/>
        <sz val="10"/>
        <color theme="1"/>
        <rFont val="Calibri"/>
        <family val="2"/>
        <scheme val="minor"/>
      </rPr>
      <t xml:space="preserve">YES </t>
    </r>
    <r>
      <rPr>
        <sz val="10"/>
        <color theme="1"/>
        <rFont val="Calibri"/>
        <family val="2"/>
        <scheme val="minor"/>
      </rPr>
      <t>to living in residence please entre cost of residence fees for the year?</t>
    </r>
  </si>
  <si>
    <r>
      <t xml:space="preserve">If </t>
    </r>
    <r>
      <rPr>
        <b/>
        <sz val="10"/>
        <color theme="1"/>
        <rFont val="Calibri"/>
        <family val="2"/>
        <scheme val="minor"/>
      </rPr>
      <t xml:space="preserve">YES </t>
    </r>
    <r>
      <rPr>
        <sz val="10"/>
        <color theme="1"/>
        <rFont val="Calibri"/>
        <family val="2"/>
        <scheme val="minor"/>
      </rPr>
      <t>to living in residence please entre cost for meal plan for the year?</t>
    </r>
  </si>
  <si>
    <t>On average income do you receive per month</t>
  </si>
  <si>
    <t>Projected Income + Savings</t>
  </si>
  <si>
    <t>How it works:</t>
  </si>
  <si>
    <t>This is a tool designed to help students financially plan for the upcoming year of post-secondary school and determine if/how much debt they will need to take on to pay for school</t>
  </si>
  <si>
    <r>
      <t xml:space="preserve">If </t>
    </r>
    <r>
      <rPr>
        <b/>
        <sz val="10"/>
        <color theme="1"/>
        <rFont val="Calibri"/>
        <family val="2"/>
        <scheme val="minor"/>
      </rPr>
      <t xml:space="preserve">YES </t>
    </r>
    <r>
      <rPr>
        <sz val="10"/>
        <color theme="1"/>
        <rFont val="Calibri"/>
        <family val="2"/>
        <scheme val="minor"/>
      </rPr>
      <t>how much are you paying in rent per month?</t>
    </r>
  </si>
  <si>
    <t>Are you paying rent this year? (Select no if living in residence)</t>
  </si>
  <si>
    <t>Other Scholarships (Psst...Check out ScholarTree.ca)</t>
  </si>
  <si>
    <t xml:space="preserve">2. Take a look at the "School Year Summary" tab. It will show you how much school will cost based on current averages for expenses. You can edit these if they are not correct for your situation. We suggest editing them on a monthly basis as it is easier to break expenses into monthly amount than over the full school year. The formulas embedded in the Workbook sum up the monthly values onto the "School Year Summary" sheet								</t>
  </si>
  <si>
    <t>1. Fill out the information below to help populate the other workbook. We have set some defaults but make sure to enter what makes sense for you.</t>
  </si>
  <si>
    <t>School</t>
  </si>
  <si>
    <t>By:</t>
  </si>
  <si>
    <t>3. Every month update the current month's tab with your actual expenses tab and check if you are sticking to your budget.</t>
  </si>
  <si>
    <t>Projected Loan Needed</t>
  </si>
  <si>
    <t>School Year Budget Planner</t>
  </si>
  <si>
    <t>Actual Income + Savings</t>
  </si>
  <si>
    <t>Actual Loan Needed</t>
  </si>
  <si>
    <t>https://scholartree.ca/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</si>
</sst>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quot;$&quot;#,##0"/>
    <numFmt numFmtId="165" formatCode="_(&quot;$&quot;* #,##0_);_(&quot;$&quot;* \(#,##0\);_(&quot;$&quot;* &quot;-&quot;??_);_(@_)"/>
  </numFmts>
  <fonts count="17" x14ac:knownFonts="1">
    <font>
      <sz val="10"/>
      <color theme="1"/>
      <name val="Calibri"/>
      <family val="2"/>
      <scheme val="minor"/>
    </font>
    <font>
      <sz val="30"/>
      <color indexed="63"/>
      <name val="Calibri"/>
      <family val="2"/>
      <scheme val="minor"/>
    </font>
    <font>
      <sz val="10"/>
      <color indexed="63"/>
      <name val="Calibri"/>
      <family val="2"/>
      <scheme val="minor"/>
    </font>
    <font>
      <b/>
      <sz val="10"/>
      <color indexed="63"/>
      <name val="Calibri"/>
      <family val="2"/>
      <scheme val="minor"/>
    </font>
    <font>
      <sz val="26"/>
      <color indexed="63"/>
      <name val="Cambria"/>
      <family val="1"/>
      <scheme val="major"/>
    </font>
    <font>
      <sz val="10"/>
      <name val="Calibri"/>
      <family val="2"/>
      <scheme val="minor"/>
    </font>
    <font>
      <b/>
      <sz val="10"/>
      <name val="Calibri"/>
      <family val="2"/>
      <scheme val="minor"/>
    </font>
    <font>
      <b/>
      <sz val="10"/>
      <color theme="1"/>
      <name val="Calibri"/>
      <family val="2"/>
      <scheme val="minor"/>
    </font>
    <font>
      <u/>
      <sz val="10"/>
      <color theme="10"/>
      <name val="Calibri"/>
      <family val="2"/>
      <scheme val="minor"/>
    </font>
    <font>
      <u/>
      <sz val="10"/>
      <color theme="11"/>
      <name val="Calibri"/>
      <family val="2"/>
      <scheme val="minor"/>
    </font>
    <font>
      <sz val="10"/>
      <name val="Calibri"/>
      <family val="2"/>
      <scheme val="minor"/>
    </font>
    <font>
      <b/>
      <sz val="10"/>
      <name val="Calibri"/>
      <family val="2"/>
      <scheme val="minor"/>
    </font>
    <font>
      <sz val="20"/>
      <color indexed="63"/>
      <name val="Cambria"/>
      <family val="1"/>
      <scheme val="major"/>
    </font>
    <font>
      <sz val="10"/>
      <color theme="1"/>
      <name val="Calibri"/>
      <family val="2"/>
      <scheme val="minor"/>
    </font>
    <font>
      <b/>
      <sz val="36"/>
      <color indexed="63"/>
      <name val="Calibri"/>
      <family val="2"/>
      <scheme val="minor"/>
    </font>
    <font>
      <sz val="20"/>
      <color theme="1"/>
      <name val="Calibri"/>
      <family val="2"/>
      <scheme val="minor"/>
    </font>
    <font>
      <sz val="16"/>
      <color theme="1"/>
      <name val="Calibri"/>
      <family val="2"/>
      <scheme val="minor"/>
    </font>
  </fonts>
  <fills count="9">
    <fill>
      <patternFill patternType="none"/>
    </fill>
    <fill>
      <patternFill patternType="gray125"/>
    </fill>
    <fill>
      <patternFill patternType="solid">
        <fgColor indexed="9"/>
        <bgColor auto="1"/>
      </patternFill>
    </fill>
    <fill>
      <patternFill patternType="solid">
        <fgColor theme="4" tint="0.59996337778862885"/>
        <bgColor indexed="65"/>
      </patternFill>
    </fill>
    <fill>
      <patternFill patternType="solid">
        <fgColor theme="5" tint="0.79998168889431442"/>
        <bgColor indexed="65"/>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indexed="64"/>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s>
  <cellStyleXfs count="3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13" fillId="0" borderId="0" applyFont="0" applyFill="0" applyBorder="0" applyAlignment="0" applyProtection="0"/>
    <xf numFmtId="0" fontId="8" fillId="0" borderId="0" applyNumberFormat="0" applyFill="0" applyBorder="0" applyAlignment="0" applyProtection="0"/>
  </cellStyleXfs>
  <cellXfs count="152">
    <xf numFmtId="0" fontId="0" fillId="0" borderId="0" xfId="0"/>
    <xf numFmtId="0" fontId="1" fillId="0" borderId="0" xfId="0" applyFont="1" applyBorder="1" applyAlignment="1">
      <alignment horizontal="left" wrapText="1"/>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2" borderId="0" xfId="0" applyFont="1" applyFill="1" applyBorder="1" applyAlignment="1">
      <alignment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6"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wrapText="1"/>
    </xf>
    <xf numFmtId="6" fontId="3" fillId="2" borderId="0" xfId="0" applyNumberFormat="1" applyFont="1" applyFill="1" applyBorder="1" applyAlignment="1">
      <alignment horizontal="center" vertical="center"/>
    </xf>
    <xf numFmtId="0" fontId="2" fillId="0" borderId="0" xfId="0" applyFont="1" applyFill="1" applyAlignment="1">
      <alignment horizontal="left" vertical="center"/>
    </xf>
    <xf numFmtId="0" fontId="6" fillId="0" borderId="0" xfId="0" applyFont="1" applyFill="1" applyBorder="1" applyAlignment="1">
      <alignment horizontal="left" vertical="center" wrapText="1"/>
    </xf>
    <xf numFmtId="6" fontId="2" fillId="3" borderId="1" xfId="0" applyNumberFormat="1" applyFont="1" applyFill="1" applyBorder="1" applyAlignment="1">
      <alignment horizontal="right" vertical="center"/>
    </xf>
    <xf numFmtId="0" fontId="5" fillId="0" borderId="7" xfId="0" applyFont="1" applyFill="1" applyBorder="1"/>
    <xf numFmtId="0" fontId="5" fillId="0" borderId="8" xfId="0" applyFont="1" applyFill="1" applyBorder="1"/>
    <xf numFmtId="0" fontId="5" fillId="0" borderId="9" xfId="0" applyFont="1" applyFill="1" applyBorder="1"/>
    <xf numFmtId="164" fontId="5" fillId="0" borderId="8" xfId="0" applyNumberFormat="1" applyFont="1" applyFill="1" applyBorder="1"/>
    <xf numFmtId="164" fontId="5" fillId="0" borderId="9" xfId="0" applyNumberFormat="1" applyFont="1" applyFill="1" applyBorder="1" applyAlignment="1">
      <alignment horizontal="right" vertical="center"/>
    </xf>
    <xf numFmtId="164" fontId="5" fillId="0" borderId="9" xfId="0" applyNumberFormat="1" applyFont="1" applyFill="1" applyBorder="1"/>
    <xf numFmtId="0" fontId="5" fillId="0" borderId="7" xfId="0" applyFont="1" applyFill="1" applyBorder="1" applyAlignment="1">
      <alignment shrinkToFit="1"/>
    </xf>
    <xf numFmtId="0" fontId="0" fillId="5" borderId="0" xfId="0" applyFill="1"/>
    <xf numFmtId="0" fontId="0" fillId="5" borderId="10" xfId="0" applyFill="1" applyBorder="1"/>
    <xf numFmtId="0" fontId="0" fillId="5" borderId="11" xfId="0" applyFill="1" applyBorder="1"/>
    <xf numFmtId="0" fontId="0" fillId="5" borderId="12" xfId="0" applyFill="1" applyBorder="1"/>
    <xf numFmtId="0" fontId="0" fillId="5" borderId="13" xfId="0" applyFill="1" applyBorder="1"/>
    <xf numFmtId="0" fontId="0" fillId="5" borderId="14" xfId="0" applyFill="1" applyBorder="1"/>
    <xf numFmtId="0" fontId="0" fillId="5" borderId="15" xfId="0" applyFill="1" applyBorder="1"/>
    <xf numFmtId="0" fontId="7" fillId="5" borderId="11" xfId="0" applyFont="1" applyFill="1" applyBorder="1"/>
    <xf numFmtId="0" fontId="2" fillId="0" borderId="0" xfId="0" applyFont="1" applyBorder="1" applyAlignment="1">
      <alignment horizontal="left" vertical="center" wrapText="1"/>
    </xf>
    <xf numFmtId="6" fontId="3" fillId="4" borderId="1" xfId="0" applyNumberFormat="1" applyFont="1" applyFill="1" applyBorder="1" applyAlignment="1">
      <alignment horizontal="right" vertical="center"/>
    </xf>
    <xf numFmtId="0" fontId="5" fillId="0" borderId="0" xfId="0" applyFont="1" applyFill="1" applyAlignment="1">
      <alignment horizontal="left" vertical="center"/>
    </xf>
    <xf numFmtId="0" fontId="7" fillId="0" borderId="0" xfId="0" applyFont="1"/>
    <xf numFmtId="0" fontId="4" fillId="0" borderId="0" xfId="0" applyFont="1" applyBorder="1" applyAlignment="1">
      <alignment vertical="center"/>
    </xf>
    <xf numFmtId="0" fontId="7" fillId="5" borderId="10" xfId="0" applyFont="1" applyFill="1" applyBorder="1" applyAlignment="1">
      <alignment horizontal="left"/>
    </xf>
    <xf numFmtId="0" fontId="10" fillId="0" borderId="7" xfId="0" applyFont="1" applyFill="1" applyBorder="1"/>
    <xf numFmtId="164" fontId="11" fillId="0" borderId="8" xfId="0" applyNumberFormat="1" applyFont="1" applyFill="1" applyBorder="1"/>
    <xf numFmtId="164" fontId="10" fillId="0" borderId="8" xfId="0" applyNumberFormat="1" applyFont="1" applyFill="1" applyBorder="1"/>
    <xf numFmtId="164" fontId="10" fillId="0" borderId="9" xfId="0" applyNumberFormat="1" applyFont="1" applyFill="1" applyBorder="1"/>
    <xf numFmtId="0" fontId="0" fillId="5" borderId="0" xfId="0" applyFill="1" applyBorder="1" applyAlignment="1">
      <alignment horizontal="center"/>
    </xf>
    <xf numFmtId="0" fontId="0" fillId="5" borderId="0" xfId="0" applyFill="1" applyBorder="1"/>
    <xf numFmtId="0" fontId="7" fillId="5" borderId="0" xfId="0" applyFont="1" applyFill="1" applyBorder="1"/>
    <xf numFmtId="0" fontId="0" fillId="0" borderId="0"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7" fillId="0" borderId="10" xfId="0" applyFont="1" applyFill="1" applyBorder="1" applyAlignment="1">
      <alignment horizontal="left"/>
    </xf>
    <xf numFmtId="0" fontId="7" fillId="0" borderId="11" xfId="0" applyFont="1" applyFill="1" applyBorder="1"/>
    <xf numFmtId="0" fontId="0" fillId="0" borderId="21" xfId="0" applyFill="1" applyBorder="1"/>
    <xf numFmtId="0" fontId="3" fillId="0" borderId="21" xfId="0" applyFont="1" applyFill="1" applyBorder="1" applyAlignment="1">
      <alignment horizontal="left" vertical="center" wrapText="1"/>
    </xf>
    <xf numFmtId="6" fontId="3" fillId="0" borderId="0" xfId="0" applyNumberFormat="1" applyFont="1" applyFill="1" applyBorder="1" applyAlignment="1">
      <alignment horizontal="center" vertical="center"/>
    </xf>
    <xf numFmtId="0" fontId="0" fillId="0" borderId="18" xfId="0" applyFill="1" applyBorder="1"/>
    <xf numFmtId="0" fontId="0" fillId="0" borderId="17" xfId="0" applyFill="1" applyBorder="1"/>
    <xf numFmtId="0" fontId="0" fillId="0" borderId="22" xfId="0" applyFill="1" applyBorder="1"/>
    <xf numFmtId="0" fontId="0" fillId="0" borderId="23" xfId="0" applyFill="1" applyBorder="1"/>
    <xf numFmtId="0" fontId="0" fillId="0" borderId="0" xfId="0" applyBorder="1"/>
    <xf numFmtId="0" fontId="0" fillId="0" borderId="22" xfId="0" applyBorder="1"/>
    <xf numFmtId="0" fontId="7" fillId="0" borderId="0" xfId="0" applyFont="1" applyFill="1" applyBorder="1" applyAlignment="1">
      <alignment horizontal="left"/>
    </xf>
    <xf numFmtId="0" fontId="7" fillId="0" borderId="0" xfId="0" applyFont="1" applyFill="1" applyBorder="1"/>
    <xf numFmtId="0" fontId="0" fillId="0" borderId="21" xfId="0" applyBorder="1"/>
    <xf numFmtId="0" fontId="0" fillId="0" borderId="17" xfId="0" applyBorder="1"/>
    <xf numFmtId="0" fontId="0" fillId="0" borderId="18" xfId="0" applyBorder="1"/>
    <xf numFmtId="0" fontId="0" fillId="0" borderId="23" xfId="0" applyBorder="1"/>
    <xf numFmtId="6" fontId="3" fillId="4" borderId="1" xfId="0" applyNumberFormat="1" applyFont="1" applyFill="1" applyBorder="1" applyAlignment="1">
      <alignment horizontal="right" vertical="center"/>
    </xf>
    <xf numFmtId="0" fontId="5" fillId="0" borderId="0" xfId="0" applyFont="1" applyFill="1" applyAlignment="1">
      <alignment horizontal="left" vertical="center"/>
    </xf>
    <xf numFmtId="0" fontId="2" fillId="0" borderId="0" xfId="0" applyFont="1" applyBorder="1" applyAlignment="1">
      <alignment horizontal="left" vertical="center" wrapText="1"/>
    </xf>
    <xf numFmtId="0" fontId="12" fillId="0" borderId="0" xfId="0" applyFont="1" applyBorder="1" applyAlignment="1">
      <alignment vertical="center"/>
    </xf>
    <xf numFmtId="165" fontId="0" fillId="5" borderId="18" xfId="31" applyNumberFormat="1" applyFont="1" applyFill="1" applyBorder="1" applyAlignment="1">
      <alignment horizontal="center"/>
    </xf>
    <xf numFmtId="165" fontId="0" fillId="5" borderId="23" xfId="31" applyNumberFormat="1" applyFont="1" applyFill="1" applyBorder="1" applyAlignment="1">
      <alignment horizontal="center"/>
    </xf>
    <xf numFmtId="165" fontId="0" fillId="5" borderId="20" xfId="0" applyNumberFormat="1" applyFill="1" applyBorder="1" applyAlignment="1">
      <alignment horizontal="center"/>
    </xf>
    <xf numFmtId="0" fontId="0" fillId="5" borderId="18" xfId="0" applyFill="1" applyBorder="1"/>
    <xf numFmtId="165" fontId="0" fillId="5" borderId="18" xfId="31" applyNumberFormat="1" applyFont="1" applyFill="1" applyBorder="1"/>
    <xf numFmtId="0" fontId="0" fillId="5" borderId="23" xfId="0" applyFill="1" applyBorder="1"/>
    <xf numFmtId="0" fontId="0" fillId="5" borderId="0" xfId="0" applyFill="1" applyBorder="1" applyAlignment="1">
      <alignment horizontal="left" vertical="center" wrapText="1"/>
    </xf>
    <xf numFmtId="164" fontId="6" fillId="0" borderId="8" xfId="0" applyNumberFormat="1" applyFont="1" applyFill="1" applyBorder="1"/>
    <xf numFmtId="0" fontId="15" fillId="5" borderId="0" xfId="0" applyFont="1" applyFill="1" applyBorder="1" applyAlignment="1">
      <alignment vertical="center"/>
    </xf>
    <xf numFmtId="0" fontId="0" fillId="5" borderId="0" xfId="0" applyFill="1" applyBorder="1" applyAlignment="1">
      <alignment horizontal="center"/>
    </xf>
    <xf numFmtId="0" fontId="0" fillId="5" borderId="21" xfId="0" applyFill="1" applyBorder="1" applyAlignment="1">
      <alignment horizontal="left"/>
    </xf>
    <xf numFmtId="0" fontId="0" fillId="5" borderId="0" xfId="0" applyFill="1" applyBorder="1" applyAlignment="1">
      <alignment horizontal="left"/>
    </xf>
    <xf numFmtId="0" fontId="0" fillId="5" borderId="0" xfId="0" applyFill="1" applyBorder="1" applyAlignment="1">
      <alignment horizontal="left" vertical="center" wrapText="1"/>
    </xf>
    <xf numFmtId="0" fontId="7" fillId="6" borderId="0" xfId="0" applyFont="1" applyFill="1" applyBorder="1" applyAlignment="1">
      <alignment horizontal="left" vertical="center"/>
    </xf>
    <xf numFmtId="0" fontId="0" fillId="6" borderId="0" xfId="0" applyFill="1" applyBorder="1" applyAlignment="1">
      <alignment horizontal="left" vertical="center"/>
    </xf>
    <xf numFmtId="0" fontId="0" fillId="5" borderId="0" xfId="0" applyFill="1" applyBorder="1" applyAlignment="1">
      <alignment horizontal="left" vertical="center"/>
    </xf>
    <xf numFmtId="0" fontId="0" fillId="7" borderId="0" xfId="0" applyFill="1" applyBorder="1" applyAlignment="1">
      <alignment horizontal="left" vertical="center" wrapText="1"/>
    </xf>
    <xf numFmtId="0" fontId="0" fillId="6" borderId="0" xfId="0" applyFill="1" applyBorder="1" applyAlignment="1">
      <alignment horizontal="left" vertical="center" wrapText="1"/>
    </xf>
    <xf numFmtId="0" fontId="0" fillId="5" borderId="16" xfId="0" applyFill="1" applyBorder="1" applyAlignment="1">
      <alignment horizontal="left"/>
    </xf>
    <xf numFmtId="0" fontId="0" fillId="5" borderId="19" xfId="0" applyFill="1" applyBorder="1" applyAlignment="1">
      <alignment horizontal="left"/>
    </xf>
    <xf numFmtId="0" fontId="0" fillId="5" borderId="17" xfId="0" applyFill="1" applyBorder="1" applyAlignment="1">
      <alignment horizontal="left"/>
    </xf>
    <xf numFmtId="0" fontId="0" fillId="5" borderId="22" xfId="0" applyFill="1" applyBorder="1" applyAlignment="1">
      <alignment horizontal="left"/>
    </xf>
    <xf numFmtId="0" fontId="7" fillId="6" borderId="16" xfId="0" applyFont="1" applyFill="1" applyBorder="1" applyAlignment="1">
      <alignment horizontal="center"/>
    </xf>
    <xf numFmtId="0" fontId="7" fillId="6" borderId="19" xfId="0" applyFont="1" applyFill="1" applyBorder="1" applyAlignment="1">
      <alignment horizontal="center"/>
    </xf>
    <xf numFmtId="0" fontId="7" fillId="6" borderId="20" xfId="0" applyFont="1" applyFill="1" applyBorder="1" applyAlignment="1">
      <alignment horizontal="center"/>
    </xf>
    <xf numFmtId="0" fontId="15" fillId="5" borderId="0" xfId="0" applyFont="1" applyFill="1" applyBorder="1" applyAlignment="1">
      <alignment horizontal="left" vertical="center"/>
    </xf>
    <xf numFmtId="0" fontId="16" fillId="5" borderId="0" xfId="0" applyFont="1" applyFill="1" applyBorder="1" applyAlignment="1">
      <alignment horizontal="left" vertical="top"/>
    </xf>
    <xf numFmtId="0" fontId="8" fillId="5" borderId="0" xfId="32" applyFill="1" applyBorder="1" applyAlignment="1">
      <alignment horizontal="left" vertical="center"/>
    </xf>
    <xf numFmtId="0" fontId="2" fillId="0" borderId="0" xfId="0" applyFont="1" applyBorder="1" applyAlignment="1">
      <alignment horizontal="left" vertical="center" wrapText="1"/>
    </xf>
    <xf numFmtId="0" fontId="0" fillId="0" borderId="0" xfId="0" applyFill="1" applyBorder="1" applyAlignment="1">
      <alignment horizontal="center"/>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3" borderId="1" xfId="0" applyFont="1" applyFill="1" applyBorder="1" applyAlignment="1">
      <alignment horizontal="left" vertical="center" shrinkToFit="1"/>
    </xf>
    <xf numFmtId="6" fontId="3" fillId="4" borderId="2" xfId="0" applyNumberFormat="1" applyFont="1" applyFill="1" applyBorder="1" applyAlignment="1">
      <alignment horizontal="right" vertical="center"/>
    </xf>
    <xf numFmtId="6" fontId="3" fillId="4" borderId="4" xfId="0" applyNumberFormat="1" applyFont="1" applyFill="1" applyBorder="1" applyAlignment="1">
      <alignment horizontal="right"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24" xfId="0" applyFont="1" applyFill="1" applyBorder="1" applyAlignment="1">
      <alignment horizontal="left" vertical="center" shrinkToFit="1"/>
    </xf>
    <xf numFmtId="0" fontId="3" fillId="3" borderId="25"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5" fillId="0" borderId="0" xfId="0" applyFont="1" applyFill="1" applyAlignment="1">
      <alignment horizontal="left" vertical="center"/>
    </xf>
    <xf numFmtId="0" fontId="3" fillId="3" borderId="2" xfId="0" applyFont="1" applyFill="1" applyBorder="1" applyAlignment="1">
      <alignment horizontal="left" vertical="center" shrinkToFit="1"/>
    </xf>
    <xf numFmtId="0" fontId="3" fillId="3" borderId="3" xfId="0" applyFont="1" applyFill="1" applyBorder="1" applyAlignment="1">
      <alignment horizontal="left" vertical="center" shrinkToFit="1"/>
    </xf>
    <xf numFmtId="0" fontId="3" fillId="3" borderId="4" xfId="0" applyFont="1" applyFill="1" applyBorder="1" applyAlignment="1">
      <alignment horizontal="left" vertical="center" shrinkToFit="1"/>
    </xf>
    <xf numFmtId="6" fontId="3" fillId="4" borderId="1" xfId="0" applyNumberFormat="1" applyFont="1" applyFill="1" applyBorder="1" applyAlignment="1">
      <alignment horizontal="right" vertical="center"/>
    </xf>
    <xf numFmtId="0" fontId="14" fillId="6" borderId="24" xfId="0" applyFont="1" applyFill="1" applyBorder="1" applyAlignment="1">
      <alignment horizontal="center" vertical="center" shrinkToFit="1"/>
    </xf>
    <xf numFmtId="0" fontId="14" fillId="6" borderId="25" xfId="0" applyFont="1" applyFill="1" applyBorder="1" applyAlignment="1">
      <alignment horizontal="center" vertical="center" shrinkToFit="1"/>
    </xf>
    <xf numFmtId="0" fontId="14" fillId="6" borderId="30" xfId="0" applyFont="1" applyFill="1" applyBorder="1" applyAlignment="1">
      <alignment horizontal="center" vertical="center" shrinkToFit="1"/>
    </xf>
    <xf numFmtId="0" fontId="14" fillId="6" borderId="0" xfId="0" applyFont="1" applyFill="1" applyBorder="1" applyAlignment="1">
      <alignment horizontal="center" vertical="center" shrinkToFit="1"/>
    </xf>
    <xf numFmtId="0" fontId="14" fillId="6" borderId="27" xfId="0" applyFont="1" applyFill="1" applyBorder="1" applyAlignment="1">
      <alignment horizontal="center" vertical="center" shrinkToFit="1"/>
    </xf>
    <xf numFmtId="0" fontId="14" fillId="6" borderId="28" xfId="0" applyFont="1" applyFill="1" applyBorder="1" applyAlignment="1">
      <alignment horizontal="center" vertical="center" shrinkToFit="1"/>
    </xf>
    <xf numFmtId="6" fontId="14" fillId="4" borderId="24" xfId="0" applyNumberFormat="1" applyFont="1" applyFill="1" applyBorder="1" applyAlignment="1">
      <alignment vertical="center"/>
    </xf>
    <xf numFmtId="6" fontId="14" fillId="4" borderId="25" xfId="0" applyNumberFormat="1" applyFont="1" applyFill="1" applyBorder="1" applyAlignment="1">
      <alignment vertical="center"/>
    </xf>
    <xf numFmtId="6" fontId="14" fillId="4" borderId="26" xfId="0" applyNumberFormat="1" applyFont="1" applyFill="1" applyBorder="1" applyAlignment="1">
      <alignment vertical="center"/>
    </xf>
    <xf numFmtId="6" fontId="14" fillId="4" borderId="30" xfId="0" applyNumberFormat="1" applyFont="1" applyFill="1" applyBorder="1" applyAlignment="1">
      <alignment vertical="center"/>
    </xf>
    <xf numFmtId="6" fontId="14" fillId="4" borderId="0" xfId="0" applyNumberFormat="1" applyFont="1" applyFill="1" applyBorder="1" applyAlignment="1">
      <alignment vertical="center"/>
    </xf>
    <xf numFmtId="6" fontId="14" fillId="4" borderId="31" xfId="0" applyNumberFormat="1" applyFont="1" applyFill="1" applyBorder="1" applyAlignment="1">
      <alignment vertical="center"/>
    </xf>
    <xf numFmtId="6" fontId="14" fillId="4" borderId="27" xfId="0" applyNumberFormat="1" applyFont="1" applyFill="1" applyBorder="1" applyAlignment="1">
      <alignment vertical="center"/>
    </xf>
    <xf numFmtId="6" fontId="14" fillId="4" borderId="28" xfId="0" applyNumberFormat="1" applyFont="1" applyFill="1" applyBorder="1" applyAlignment="1">
      <alignment vertical="center"/>
    </xf>
    <xf numFmtId="6" fontId="14" fillId="4" borderId="29" xfId="0" applyNumberFormat="1" applyFont="1" applyFill="1" applyBorder="1" applyAlignment="1">
      <alignment vertical="center"/>
    </xf>
    <xf numFmtId="165" fontId="14" fillId="8" borderId="25" xfId="31" applyNumberFormat="1" applyFont="1" applyFill="1" applyBorder="1" applyAlignment="1">
      <alignment vertical="center" shrinkToFit="1"/>
    </xf>
    <xf numFmtId="165" fontId="14" fillId="8" borderId="26" xfId="31" applyNumberFormat="1" applyFont="1" applyFill="1" applyBorder="1" applyAlignment="1">
      <alignment vertical="center" shrinkToFit="1"/>
    </xf>
    <xf numFmtId="165" fontId="14" fillId="8" borderId="0" xfId="31" applyNumberFormat="1" applyFont="1" applyFill="1" applyBorder="1" applyAlignment="1">
      <alignment vertical="center" shrinkToFit="1"/>
    </xf>
    <xf numFmtId="165" fontId="14" fillId="8" borderId="31" xfId="31" applyNumberFormat="1" applyFont="1" applyFill="1" applyBorder="1" applyAlignment="1">
      <alignment vertical="center" shrinkToFit="1"/>
    </xf>
    <xf numFmtId="165" fontId="14" fillId="8" borderId="28" xfId="31" applyNumberFormat="1" applyFont="1" applyFill="1" applyBorder="1" applyAlignment="1">
      <alignment vertical="center" shrinkToFit="1"/>
    </xf>
    <xf numFmtId="165" fontId="14" fillId="8" borderId="29" xfId="31" applyNumberFormat="1" applyFont="1" applyFill="1" applyBorder="1" applyAlignment="1">
      <alignment vertical="center" shrinkToFit="1"/>
    </xf>
    <xf numFmtId="0" fontId="3" fillId="6" borderId="16"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0" fillId="0" borderId="16" xfId="0" applyFill="1" applyBorder="1" applyAlignment="1">
      <alignment horizontal="center"/>
    </xf>
    <xf numFmtId="0" fontId="0" fillId="0" borderId="20" xfId="0" applyFill="1" applyBorder="1" applyAlignment="1">
      <alignment horizontal="center"/>
    </xf>
    <xf numFmtId="0" fontId="0" fillId="6" borderId="16" xfId="0" applyFill="1" applyBorder="1" applyAlignment="1">
      <alignment horizontal="center"/>
    </xf>
    <xf numFmtId="0" fontId="0" fillId="6" borderId="20" xfId="0" applyFill="1" applyBorder="1" applyAlignment="1">
      <alignment horizontal="center"/>
    </xf>
    <xf numFmtId="0" fontId="7" fillId="0" borderId="16" xfId="0" applyFont="1" applyFill="1" applyBorder="1" applyAlignment="1">
      <alignment horizontal="center"/>
    </xf>
    <xf numFmtId="0" fontId="7" fillId="0" borderId="20" xfId="0" applyFont="1" applyFill="1" applyBorder="1" applyAlignment="1">
      <alignment horizontal="center"/>
    </xf>
    <xf numFmtId="0" fontId="0" fillId="0" borderId="17" xfId="0" applyFill="1" applyBorder="1" applyAlignment="1">
      <alignment horizontal="center"/>
    </xf>
    <xf numFmtId="0" fontId="0" fillId="0" borderId="23" xfId="0" applyFill="1" applyBorder="1" applyAlignment="1">
      <alignment horizontal="center"/>
    </xf>
    <xf numFmtId="0" fontId="7" fillId="0" borderId="17" xfId="0" applyFont="1" applyFill="1" applyBorder="1" applyAlignment="1">
      <alignment horizontal="center"/>
    </xf>
    <xf numFmtId="0" fontId="7" fillId="0" borderId="23" xfId="0" applyFont="1" applyFill="1" applyBorder="1" applyAlignment="1">
      <alignment horizontal="center"/>
    </xf>
  </cellXfs>
  <cellStyles count="33">
    <cellStyle name="Currency" xfId="3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2" builtinId="8"/>
    <cellStyle name="Normal" xfId="0" builtinId="0" customBuiltin="1"/>
  </cellStyles>
  <dxfs count="756">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none"/>
      </font>
    </dxf>
    <dxf>
      <border diagonalUp="0" diagonalDown="0">
        <left/>
        <right/>
        <top style="thin">
          <color rgb="FF95B3D7"/>
        </top>
        <bottom style="thin">
          <color rgb="FF95B3D7"/>
        </bottom>
      </border>
    </dxf>
    <dxf>
      <font>
        <u val="none"/>
        <vertAlign val="baseline"/>
        <name val="Calibri"/>
        <scheme val="none"/>
      </font>
    </dxf>
    <dxf>
      <font>
        <u val="none"/>
        <vertAlign val="baseline"/>
        <name val="Calibri"/>
        <scheme val="minor"/>
      </font>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border diagonalUp="0" diagonalDown="0" outline="0">
        <left style="thin">
          <color theme="4" tint="0.39994506668294322"/>
        </left>
        <right style="thin">
          <color theme="4" tint="0.39994506668294322"/>
        </right>
        <top/>
        <bottom/>
      </border>
    </dxf>
    <dxf>
      <font>
        <u val="none"/>
        <vertAlign val="baseline"/>
        <sz val="10"/>
        <name val="Calibri"/>
        <scheme val="minor"/>
      </font>
      <numFmt numFmtId="164" formatCode="&quot;$&quot;#,##0"/>
      <fill>
        <patternFill patternType="none">
          <fgColor indexed="64"/>
          <bgColor indexed="65"/>
        </patternFill>
      </fill>
      <border diagonalUp="0" diagonalDown="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none"/>
      </font>
      <fill>
        <patternFill patternType="none">
          <fgColor rgb="FF000000"/>
          <bgColor rgb="FFFFFFFF"/>
        </patternFill>
      </fill>
      <border diagonalUp="0" diagonalDown="0">
        <left style="thin">
          <color rgb="FF95B3D7"/>
        </left>
        <right style="thin">
          <color rgb="FF95B3D7"/>
        </right>
        <top/>
        <bottom/>
      </border>
    </dxf>
    <dxf>
      <border diagonalUp="0" diagonalDown="0">
        <left/>
        <right/>
        <top style="thin">
          <color rgb="FF95B3D7"/>
        </top>
        <bottom style="thin">
          <color rgb="FF95B3D7"/>
        </bottom>
      </border>
    </dxf>
    <dxf>
      <font>
        <u val="none"/>
        <vertAlign val="baseline"/>
        <sz val="10"/>
        <name val="Calibri"/>
        <scheme val="none"/>
      </font>
      <fill>
        <patternFill patternType="none">
          <fgColor rgb="FF000000"/>
          <bgColor rgb="FFFFFFFF"/>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AE0C2"/>
      <color rgb="FF75C185"/>
      <color rgb="FF9AD2A6"/>
      <color rgb="FF4ECE73"/>
      <color rgb="FF35C15D"/>
      <color rgb="FF2DA3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scholartree.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375919</xdr:colOff>
      <xdr:row>1</xdr:row>
      <xdr:rowOff>180035</xdr:rowOff>
    </xdr:from>
    <xdr:to>
      <xdr:col>2</xdr:col>
      <xdr:colOff>426720</xdr:colOff>
      <xdr:row>3</xdr:row>
      <xdr:rowOff>132799</xdr:rowOff>
    </xdr:to>
    <xdr:pic>
      <xdr:nvPicPr>
        <xdr:cNvPr id="6" name="Graphic 2">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375919" y="515315"/>
          <a:ext cx="1168401" cy="3185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3" name="Graphic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0500" y="215900"/>
          <a:ext cx="1854200" cy="469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88900</xdr:colOff>
      <xdr:row>1</xdr:row>
      <xdr:rowOff>114300</xdr:rowOff>
    </xdr:from>
    <xdr:to>
      <xdr:col>1</xdr:col>
      <xdr:colOff>1943100</xdr:colOff>
      <xdr:row>1</xdr:row>
      <xdr:rowOff>584200</xdr:rowOff>
    </xdr:to>
    <xdr:pic>
      <xdr:nvPicPr>
        <xdr:cNvPr id="2" name="Graphic 2">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195580" y="213360"/>
          <a:ext cx="1854200" cy="469900"/>
        </a:xfrm>
        <a:prstGeom prst="rect">
          <a:avLst/>
        </a:prstGeom>
      </xdr:spPr>
    </xdr:pic>
    <xdr:clientData/>
  </xdr:twoCellAnchor>
</xdr:wsDr>
</file>

<file path=xl/tables/table1.xml><?xml version="1.0" encoding="utf-8"?>
<table xmlns="http://schemas.openxmlformats.org/spreadsheetml/2006/main" id="58" name="Table11438506274869859" displayName="Table11438506274869859" ref="B19:E25" totalsRowCount="1" headerRowDxfId="755" dataDxfId="754" totalsRowDxfId="752" tableBorderDxfId="753">
  <autoFilter ref="B19:E24"/>
  <tableColumns count="4">
    <tableColumn id="1" name="HOUSING" totalsRowLabel="Total" dataDxfId="751" totalsRowDxfId="750"/>
    <tableColumn id="2" name="Projected Cost" totalsRowFunction="sum" dataDxfId="749" totalsRowDxfId="748">
      <calculatedColumnFormula>IF('Starting Page'!I24="Yes",'Starting Page'!I25,IF(AND('Starting Page'!I24="No",'Starting Page'!I28="No"),0,Table114385062748698[[#This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calculatedColumnFormula>
    </tableColumn>
    <tableColumn id="3" name="Actual Cost" totalsRowFunction="sum" dataDxfId="747" totalsRowDxfId="746">
      <calculatedColumnFormula>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calculatedColumnFormula>
    </tableColumn>
    <tableColumn id="4" name="Difference" totalsRowFunction="sum" dataDxfId="745" totalsRowDxfId="744">
      <calculatedColumnFormula>Table11438506274869859[Projected Cost]-Table11438506274869859[Actual Cost]</calculatedColumnFormula>
    </tableColumn>
  </tableColumns>
  <tableStyleInfo name="TableStyleMedium23" showFirstColumn="0" showLastColumn="0" showRowStripes="1" showColumnStripes="0"/>
</table>
</file>

<file path=xl/tables/table10.xml><?xml version="1.0" encoding="utf-8"?>
<table xmlns="http://schemas.openxmlformats.org/spreadsheetml/2006/main" id="102" name="Table5194355677991103" displayName="Table5194355677991103" ref="B39:E43" totalsRowCount="1" headerRowDxfId="647" dataDxfId="646" totalsRowDxfId="644" tableBorderDxfId="645">
  <autoFilter ref="B39:E42"/>
  <tableColumns count="4">
    <tableColumn id="1" name="FOOD" totalsRowLabel="Total" dataDxfId="643" totalsRowDxfId="642"/>
    <tableColumn id="2" name="Projected Cost" totalsRowFunction="sum" dataDxfId="641" totalsRowDxfId="640"/>
    <tableColumn id="3" name="Actual Cost" totalsRowFunction="sum" dataDxfId="639" totalsRowDxfId="638">
      <calculatedColumnFormula>#REF!</calculatedColumnFormula>
    </tableColumn>
    <tableColumn id="4" name="Difference" totalsRowFunction="sum" dataDxfId="637" totalsRowDxfId="636">
      <calculatedColumnFormula>Table5194355677991103[Projected Cost]-Table5194355677991103[Actual Cost]</calculatedColumnFormula>
    </tableColumn>
  </tableColumns>
  <tableStyleInfo name="TableStyleMedium23" showFirstColumn="0" showLastColumn="0" showRowStripes="1" showColumnStripes="0"/>
</table>
</file>

<file path=xl/tables/table11.xml><?xml version="1.0" encoding="utf-8"?>
<table xmlns="http://schemas.openxmlformats.org/spreadsheetml/2006/main" id="104" name="Table3214557698193105" displayName="Table3214557698193105" ref="B27:E33" totalsRowCount="1" headerRowDxfId="635" dataDxfId="634" totalsRowDxfId="632" tableBorderDxfId="633">
  <autoFilter ref="B27:E32"/>
  <tableColumns count="4">
    <tableColumn id="1" name="TRANSPORTATION" totalsRowLabel="Total" dataDxfId="631" totalsRowDxfId="630"/>
    <tableColumn id="2" name="Projected Cost" totalsRowFunction="sum" dataDxfId="629" totalsRowDxfId="628"/>
    <tableColumn id="3" name="Actual Cost" totalsRowFunction="sum" dataDxfId="627" totalsRowDxfId="626">
      <calculatedColumnFormula>#REF!</calculatedColumnFormula>
    </tableColumn>
    <tableColumn id="4" name="Difference" totalsRowFunction="sum" dataDxfId="625" totalsRowDxfId="624">
      <calculatedColumnFormula>Table3214557698193105[Projected Cost]-Table3214557698193105[Actual Cost]</calculatedColumnFormula>
    </tableColumn>
  </tableColumns>
  <tableStyleInfo name="TableStyleMedium23" showFirstColumn="0" showLastColumn="0" showRowStripes="1" showColumnStripes="0"/>
</table>
</file>

<file path=xl/tables/table12.xml><?xml version="1.0" encoding="utf-8"?>
<table xmlns="http://schemas.openxmlformats.org/spreadsheetml/2006/main" id="107" name="Table7244860728496108" displayName="Table7244860728496108" ref="B45:E51" totalsRowCount="1" headerRowDxfId="623" dataDxfId="622" totalsRowDxfId="620" tableBorderDxfId="621">
  <autoFilter ref="B45:E50"/>
  <tableColumns count="4">
    <tableColumn id="1" name="PERSONAL CARE" totalsRowLabel="Total" dataDxfId="619" totalsRowDxfId="618"/>
    <tableColumn id="2" name="Projected Cost" totalsRowFunction="sum" dataDxfId="617" totalsRowDxfId="616"/>
    <tableColumn id="3" name="Actual Cost" totalsRowFunction="sum" dataDxfId="615" totalsRowDxfId="614">
      <calculatedColumnFormula>#REF!</calculatedColumnFormula>
    </tableColumn>
    <tableColumn id="4" name="Difference" totalsRowFunction="sum" dataDxfId="613" totalsRowDxfId="612">
      <calculatedColumnFormula>Table7244860728496108[Projected Cost]-Table7244860728496108[Actual Cost]</calculatedColumnFormula>
    </tableColumn>
  </tableColumns>
  <tableStyleInfo name="TableStyleMedium23" showFirstColumn="0" showLastColumn="0" showRowStripes="1" showColumnStripes="0"/>
</table>
</file>

<file path=xl/tables/table13.xml><?xml version="1.0" encoding="utf-8"?>
<table xmlns="http://schemas.openxmlformats.org/spreadsheetml/2006/main" id="108" name="Table2254961738597109" displayName="Table2254961738597109" ref="B53:E59" totalsRowCount="1" headerRowDxfId="611" dataDxfId="610" totalsRowDxfId="608" tableBorderDxfId="609">
  <autoFilter ref="B53:E58"/>
  <tableColumns count="4">
    <tableColumn id="1" name="ENTERTAINMENT" totalsRowLabel="Total" dataDxfId="607" totalsRowDxfId="606"/>
    <tableColumn id="2" name="Projected Cost" totalsRowFunction="sum" dataDxfId="605" totalsRowDxfId="604"/>
    <tableColumn id="3" name="Actual Cost" totalsRowFunction="sum" dataDxfId="603" totalsRowDxfId="602"/>
    <tableColumn id="4" name="Difference" totalsRowFunction="sum" dataDxfId="601" totalsRowDxfId="600">
      <calculatedColumnFormula>Table2254961738597109[Projected Cost]-Table2254961738597109[Actual Cost]</calculatedColumnFormula>
    </tableColumn>
  </tableColumns>
  <tableStyleInfo name="TableStyleMedium23" showFirstColumn="0" showLastColumn="0" showRowStripes="1" showColumnStripes="0"/>
</table>
</file>

<file path=xl/tables/table14.xml><?xml version="1.0" encoding="utf-8"?>
<table xmlns="http://schemas.openxmlformats.org/spreadsheetml/2006/main" id="1" name="Table1143850627486982" displayName="Table1143850627486982" ref="B11:E17" totalsRowCount="1" headerRowDxfId="599" dataDxfId="598" totalsRowDxfId="596" tableBorderDxfId="597">
  <autoFilter ref="B11:E16"/>
  <tableColumns count="4">
    <tableColumn id="1" name="SCHOOL" totalsRowLabel="Total" dataDxfId="595" totalsRowDxfId="594"/>
    <tableColumn id="2" name="Projected Cost" totalsRowFunction="sum" dataDxfId="593" totalsRowDxfId="592"/>
    <tableColumn id="3" name="Actual Cost" totalsRowFunction="sum" dataDxfId="591" totalsRowDxfId="590"/>
    <tableColumn id="4" name="Difference" totalsRowFunction="sum" dataDxfId="589" totalsRowDxfId="588">
      <calculatedColumnFormula>Table1143850627486982[Projected Cost]-Table1143850627486982[Actual Cost]</calculatedColumnFormula>
    </tableColumn>
  </tableColumns>
  <tableStyleInfo name="TableStyleMedium23" showFirstColumn="0" showLastColumn="0" showRowStripes="1" showColumnStripes="0"/>
</table>
</file>

<file path=xl/tables/table15.xml><?xml version="1.0" encoding="utf-8"?>
<table xmlns="http://schemas.openxmlformats.org/spreadsheetml/2006/main" id="2" name="Table1143850627486983" displayName="Table1143850627486983" ref="B19:E25" totalsRowCount="1" headerRowDxfId="587" dataDxfId="586" totalsRowDxfId="584" tableBorderDxfId="585">
  <autoFilter ref="B19:E24"/>
  <tableColumns count="4">
    <tableColumn id="1" name="HOUSING" totalsRowLabel="Total" dataDxfId="583" totalsRowDxfId="582"/>
    <tableColumn id="2" name="Projected Cost" totalsRowFunction="sum" dataDxfId="581" totalsRowDxfId="580"/>
    <tableColumn id="3" name="Actual Cost" totalsRowFunction="sum" dataDxfId="579" totalsRowDxfId="578"/>
    <tableColumn id="4" name="Difference" totalsRowFunction="sum" dataDxfId="577" totalsRowDxfId="576">
      <calculatedColumnFormula>Table1143850627486983[Projected Cost]-Table1143850627486983[Actual Cost]</calculatedColumnFormula>
    </tableColumn>
  </tableColumns>
  <tableStyleInfo name="TableStyleMedium23" showFirstColumn="0" showLastColumn="0" showRowStripes="1" showColumnStripes="0"/>
</table>
</file>

<file path=xl/tables/table16.xml><?xml version="1.0" encoding="utf-8"?>
<table xmlns="http://schemas.openxmlformats.org/spreadsheetml/2006/main" id="3" name="Table4153951637587994" displayName="Table4153951637587994" ref="B35:E37" totalsRowCount="1" headerRowDxfId="575" dataDxfId="574" totalsRowDxfId="572" tableBorderDxfId="573">
  <autoFilter ref="B35:E36"/>
  <tableColumns count="4">
    <tableColumn id="1" name="INSURANCE" totalsRowLabel="Total" dataDxfId="571" totalsRowDxfId="570"/>
    <tableColumn id="2" name="Projected Cost" totalsRowFunction="sum" dataDxfId="569" totalsRowDxfId="568"/>
    <tableColumn id="3" name="Actual Cost" totalsRowFunction="sum" dataDxfId="567" totalsRowDxfId="566">
      <calculatedColumnFormula>L46</calculatedColumnFormula>
    </tableColumn>
    <tableColumn id="4" name="Difference" totalsRowFunction="sum" dataDxfId="565" totalsRowDxfId="564">
      <calculatedColumnFormula>Table4153951637587994[Projected Cost]-Table4153951637587994[Actual Cost]</calculatedColumnFormula>
    </tableColumn>
  </tableColumns>
  <tableStyleInfo name="TableStyleMedium23" showFirstColumn="0" showLastColumn="0" showRowStripes="1" showColumnStripes="0"/>
</table>
</file>

<file path=xl/tables/table17.xml><?xml version="1.0" encoding="utf-8"?>
<table xmlns="http://schemas.openxmlformats.org/spreadsheetml/2006/main" id="4" name="Table51943556779911035" displayName="Table51943556779911035" ref="B39:E43" totalsRowCount="1" headerRowDxfId="563" dataDxfId="562" totalsRowDxfId="560" tableBorderDxfId="561">
  <autoFilter ref="B39:E42"/>
  <tableColumns count="4">
    <tableColumn id="1" name="FOOD" totalsRowLabel="Total" dataDxfId="559" totalsRowDxfId="558"/>
    <tableColumn id="2" name="Projected Cost" totalsRowFunction="sum" dataDxfId="557" totalsRowDxfId="556"/>
    <tableColumn id="3" name="Actual Cost" totalsRowFunction="sum" dataDxfId="555" totalsRowDxfId="554">
      <calculatedColumnFormula>#REF!</calculatedColumnFormula>
    </tableColumn>
    <tableColumn id="4" name="Difference" totalsRowFunction="sum" dataDxfId="553" totalsRowDxfId="552">
      <calculatedColumnFormula>Table51943556779911035[Projected Cost]-Table51943556779911035[Actual Cost]</calculatedColumnFormula>
    </tableColumn>
  </tableColumns>
  <tableStyleInfo name="TableStyleMedium23" showFirstColumn="0" showLastColumn="0" showRowStripes="1" showColumnStripes="0"/>
</table>
</file>

<file path=xl/tables/table18.xml><?xml version="1.0" encoding="utf-8"?>
<table xmlns="http://schemas.openxmlformats.org/spreadsheetml/2006/main" id="5" name="Table32145576981931056" displayName="Table32145576981931056" ref="B27:E33" totalsRowCount="1" headerRowDxfId="551" dataDxfId="550" totalsRowDxfId="548" tableBorderDxfId="549">
  <autoFilter ref="B27:E32"/>
  <tableColumns count="4">
    <tableColumn id="1" name="TRANSPORTATION" totalsRowLabel="Total" dataDxfId="547" totalsRowDxfId="546"/>
    <tableColumn id="2" name="Projected Cost" totalsRowFunction="sum" dataDxfId="545" totalsRowDxfId="544"/>
    <tableColumn id="3" name="Actual Cost" totalsRowFunction="sum" dataDxfId="543" totalsRowDxfId="542">
      <calculatedColumnFormula>#REF!</calculatedColumnFormula>
    </tableColumn>
    <tableColumn id="4" name="Difference" totalsRowFunction="sum" dataDxfId="541" totalsRowDxfId="540">
      <calculatedColumnFormula>Table32145576981931056[Projected Cost]-Table32145576981931056[Actual Cost]</calculatedColumnFormula>
    </tableColumn>
  </tableColumns>
  <tableStyleInfo name="TableStyleMedium23" showFirstColumn="0" showLastColumn="0" showRowStripes="1" showColumnStripes="0"/>
</table>
</file>

<file path=xl/tables/table19.xml><?xml version="1.0" encoding="utf-8"?>
<table xmlns="http://schemas.openxmlformats.org/spreadsheetml/2006/main" id="6" name="Table72448607284961087" displayName="Table72448607284961087" ref="B45:E51" totalsRowCount="1" headerRowDxfId="539" dataDxfId="538" totalsRowDxfId="536" tableBorderDxfId="537">
  <autoFilter ref="B45:E50"/>
  <tableColumns count="4">
    <tableColumn id="1" name="PERSONAL CARE" totalsRowLabel="Total" dataDxfId="535" totalsRowDxfId="534"/>
    <tableColumn id="2" name="Projected Cost" totalsRowFunction="sum" dataDxfId="533" totalsRowDxfId="532"/>
    <tableColumn id="3" name="Actual Cost" totalsRowFunction="sum" dataDxfId="531" totalsRowDxfId="530">
      <calculatedColumnFormula>#REF!</calculatedColumnFormula>
    </tableColumn>
    <tableColumn id="4" name="Difference" totalsRowFunction="sum" dataDxfId="529" totalsRowDxfId="528">
      <calculatedColumnFormula>Table72448607284961087[Projected Cost]-Table72448607284961087[Actual Cost]</calculatedColumnFormula>
    </tableColumn>
  </tableColumns>
  <tableStyleInfo name="TableStyleMedium23" showFirstColumn="0" showLastColumn="0" showRowStripes="1" showColumnStripes="0"/>
</table>
</file>

<file path=xl/tables/table2.xml><?xml version="1.0" encoding="utf-8"?>
<table xmlns="http://schemas.openxmlformats.org/spreadsheetml/2006/main" id="59" name="Table41539516375879960" displayName="Table41539516375879960" ref="B35:E37" totalsRowCount="1" headerRowDxfId="743" dataDxfId="742" totalsRowDxfId="740" tableBorderDxfId="741">
  <autoFilter ref="B35:E36"/>
  <tableColumns count="4">
    <tableColumn id="1" name="INSURANCE" totalsRowLabel="Total" dataDxfId="739" totalsRowDxfId="738"/>
    <tableColumn id="2" name="Projected Cost" totalsRowFunction="sum" dataDxfId="737" totalsRowDxfId="736">
      <calculatedColumnFormula>Table415395163758799[Projected Cost]+Table4153951637587994[Projected Cost]+Table415395163758799411[Projected Cost]+Table41539516375879941118[Projected Cost]+Table41539516375879925[Projected Cost]+Table4153951637587994111832[Projected Cost]+Table415395163758799411183239[Projected Cost]+Table41539516375879941118323946[Projected Cost]</calculatedColumnFormula>
    </tableColumn>
    <tableColumn id="3" name="Actual Cost" totalsRowFunction="sum" dataDxfId="735" totalsRowDxfId="734">
      <calculatedColumnFormula>Table415395163758799[Actual Cost]+Table4153951637587994[Actual Cost]+Table415395163758799411[Actual Cost]+Table41539516375879941118[Actual Cost]+Table41539516375879925[Actual Cost]+Table4153951637587994111832[Actual Cost]+Table415395163758799411183239[Actual Cost]+Table41539516375879941118323946[Actual Cost]</calculatedColumnFormula>
    </tableColumn>
    <tableColumn id="4" name="Difference" totalsRowFunction="sum" dataDxfId="733" totalsRowDxfId="732">
      <calculatedColumnFormula>Table41539516375879960[Projected Cost]-Table41539516375879960[Actual Cost]</calculatedColumnFormula>
    </tableColumn>
  </tableColumns>
  <tableStyleInfo name="TableStyleMedium23" showFirstColumn="0" showLastColumn="0" showRowStripes="1" showColumnStripes="0"/>
</table>
</file>

<file path=xl/tables/table20.xml><?xml version="1.0" encoding="utf-8"?>
<table xmlns="http://schemas.openxmlformats.org/spreadsheetml/2006/main" id="7" name="Table22549617385971098" displayName="Table22549617385971098" ref="B53:E59" totalsRowCount="1" headerRowDxfId="527" dataDxfId="526" totalsRowDxfId="524" tableBorderDxfId="525">
  <autoFilter ref="B53:E58"/>
  <tableColumns count="4">
    <tableColumn id="1" name="ENTERTAINMENT" totalsRowLabel="Total" dataDxfId="523" totalsRowDxfId="522"/>
    <tableColumn id="2" name="Projected Cost" totalsRowFunction="sum" dataDxfId="521" totalsRowDxfId="520"/>
    <tableColumn id="3" name="Actual Cost" totalsRowFunction="sum" dataDxfId="519" totalsRowDxfId="518"/>
    <tableColumn id="4" name="Difference" totalsRowFunction="sum" dataDxfId="517" totalsRowDxfId="516">
      <calculatedColumnFormula>Table22549617385971098[Projected Cost]-Table22549617385971098[Actual Cost]</calculatedColumnFormula>
    </tableColumn>
  </tableColumns>
  <tableStyleInfo name="TableStyleMedium23" showFirstColumn="0" showLastColumn="0" showRowStripes="1" showColumnStripes="0"/>
</table>
</file>

<file path=xl/tables/table21.xml><?xml version="1.0" encoding="utf-8"?>
<table xmlns="http://schemas.openxmlformats.org/spreadsheetml/2006/main" id="8" name="Table11438506274869829" displayName="Table11438506274869829" ref="B11:E17" totalsRowCount="1" headerRowDxfId="515" dataDxfId="514" totalsRowDxfId="512" tableBorderDxfId="513">
  <autoFilter ref="B11:E16"/>
  <tableColumns count="4">
    <tableColumn id="1" name="SCHOOL" totalsRowLabel="Total" dataDxfId="511" totalsRowDxfId="510"/>
    <tableColumn id="2" name="Projected Cost" totalsRowFunction="sum" dataDxfId="509" totalsRowDxfId="508"/>
    <tableColumn id="3" name="Actual Cost" totalsRowFunction="sum" dataDxfId="507" totalsRowDxfId="506"/>
    <tableColumn id="4" name="Difference" totalsRowFunction="sum" dataDxfId="505" totalsRowDxfId="504">
      <calculatedColumnFormula>Table11438506274869829[Projected Cost]-Table11438506274869829[Actual Cost]</calculatedColumnFormula>
    </tableColumn>
  </tableColumns>
  <tableStyleInfo name="TableStyleMedium23" showFirstColumn="0" showLastColumn="0" showRowStripes="1" showColumnStripes="0"/>
</table>
</file>

<file path=xl/tables/table22.xml><?xml version="1.0" encoding="utf-8"?>
<table xmlns="http://schemas.openxmlformats.org/spreadsheetml/2006/main" id="9" name="Table114385062748698310" displayName="Table114385062748698310" ref="B19:E25" totalsRowCount="1" headerRowDxfId="503" dataDxfId="502" totalsRowDxfId="500" tableBorderDxfId="501">
  <autoFilter ref="B19:E24"/>
  <tableColumns count="4">
    <tableColumn id="1" name="HOUSING" totalsRowLabel="Total" dataDxfId="499" totalsRowDxfId="498"/>
    <tableColumn id="2" name="Projected Cost" totalsRowFunction="sum" dataDxfId="497" totalsRowDxfId="496"/>
    <tableColumn id="3" name="Actual Cost" totalsRowFunction="sum" dataDxfId="495" totalsRowDxfId="494"/>
    <tableColumn id="4" name="Difference" totalsRowFunction="sum" dataDxfId="493" totalsRowDxfId="492">
      <calculatedColumnFormula>Table114385062748698310[Projected Cost]-Table114385062748698310[Actual Cost]</calculatedColumnFormula>
    </tableColumn>
  </tableColumns>
  <tableStyleInfo name="TableStyleMedium23" showFirstColumn="0" showLastColumn="0" showRowStripes="1" showColumnStripes="0"/>
</table>
</file>

<file path=xl/tables/table23.xml><?xml version="1.0" encoding="utf-8"?>
<table xmlns="http://schemas.openxmlformats.org/spreadsheetml/2006/main" id="10" name="Table415395163758799411" displayName="Table415395163758799411" ref="B35:E37" totalsRowCount="1" headerRowDxfId="491" dataDxfId="490" totalsRowDxfId="488" tableBorderDxfId="489">
  <autoFilter ref="B35:E36"/>
  <tableColumns count="4">
    <tableColumn id="1" name="INSURANCE" totalsRowLabel="Total" dataDxfId="487" totalsRowDxfId="486"/>
    <tableColumn id="2" name="Projected Cost" totalsRowFunction="sum" dataDxfId="485" totalsRowDxfId="484"/>
    <tableColumn id="3" name="Actual Cost" totalsRowFunction="sum" dataDxfId="483" totalsRowDxfId="482">
      <calculatedColumnFormula>L46</calculatedColumnFormula>
    </tableColumn>
    <tableColumn id="4" name="Difference" totalsRowFunction="sum" dataDxfId="481" totalsRowDxfId="480">
      <calculatedColumnFormula>Table415395163758799411[Projected Cost]-Table415395163758799411[Actual Cost]</calculatedColumnFormula>
    </tableColumn>
  </tableColumns>
  <tableStyleInfo name="TableStyleMedium23" showFirstColumn="0" showLastColumn="0" showRowStripes="1" showColumnStripes="0"/>
</table>
</file>

<file path=xl/tables/table24.xml><?xml version="1.0" encoding="utf-8"?>
<table xmlns="http://schemas.openxmlformats.org/spreadsheetml/2006/main" id="11" name="Table5194355677991103512" displayName="Table5194355677991103512" ref="B39:E43" totalsRowCount="1" headerRowDxfId="479" dataDxfId="478" totalsRowDxfId="476" tableBorderDxfId="477">
  <autoFilter ref="B39:E42"/>
  <tableColumns count="4">
    <tableColumn id="1" name="FOOD" totalsRowLabel="Total" dataDxfId="475" totalsRowDxfId="474"/>
    <tableColumn id="2" name="Projected Cost" totalsRowFunction="sum" dataDxfId="473" totalsRowDxfId="472"/>
    <tableColumn id="3" name="Actual Cost" totalsRowFunction="sum" dataDxfId="471" totalsRowDxfId="470">
      <calculatedColumnFormula>#REF!</calculatedColumnFormula>
    </tableColumn>
    <tableColumn id="4" name="Difference" totalsRowFunction="sum" dataDxfId="469" totalsRowDxfId="468">
      <calculatedColumnFormula>Table5194355677991103512[Projected Cost]-Table5194355677991103512[Actual Cost]</calculatedColumnFormula>
    </tableColumn>
  </tableColumns>
  <tableStyleInfo name="TableStyleMedium23" showFirstColumn="0" showLastColumn="0" showRowStripes="1" showColumnStripes="0"/>
</table>
</file>

<file path=xl/tables/table25.xml><?xml version="1.0" encoding="utf-8"?>
<table xmlns="http://schemas.openxmlformats.org/spreadsheetml/2006/main" id="12" name="Table3214557698193105613" displayName="Table3214557698193105613" ref="B27:E33" totalsRowCount="1" headerRowDxfId="467" dataDxfId="466" totalsRowDxfId="464" tableBorderDxfId="465">
  <autoFilter ref="B27:E32"/>
  <tableColumns count="4">
    <tableColumn id="1" name="TRANSPORTATION" totalsRowLabel="Total" dataDxfId="463" totalsRowDxfId="462"/>
    <tableColumn id="2" name="Projected Cost" totalsRowFunction="sum" dataDxfId="461" totalsRowDxfId="460"/>
    <tableColumn id="3" name="Actual Cost" totalsRowFunction="sum" dataDxfId="459" totalsRowDxfId="458">
      <calculatedColumnFormula>#REF!</calculatedColumnFormula>
    </tableColumn>
    <tableColumn id="4" name="Difference" totalsRowFunction="sum" dataDxfId="457" totalsRowDxfId="456">
      <calculatedColumnFormula>Table3214557698193105613[Projected Cost]-Table3214557698193105613[Actual Cost]</calculatedColumnFormula>
    </tableColumn>
  </tableColumns>
  <tableStyleInfo name="TableStyleMedium23" showFirstColumn="0" showLastColumn="0" showRowStripes="1" showColumnStripes="0"/>
</table>
</file>

<file path=xl/tables/table26.xml><?xml version="1.0" encoding="utf-8"?>
<table xmlns="http://schemas.openxmlformats.org/spreadsheetml/2006/main" id="13" name="Table7244860728496108714" displayName="Table7244860728496108714" ref="B45:E51" totalsRowCount="1" headerRowDxfId="455" dataDxfId="454" totalsRowDxfId="452" tableBorderDxfId="453">
  <autoFilter ref="B45:E50"/>
  <tableColumns count="4">
    <tableColumn id="1" name="PERSONAL CARE" totalsRowLabel="Total" dataDxfId="451" totalsRowDxfId="450"/>
    <tableColumn id="2" name="Projected Cost" totalsRowFunction="sum" dataDxfId="449" totalsRowDxfId="448"/>
    <tableColumn id="3" name="Actual Cost" totalsRowFunction="sum" dataDxfId="447" totalsRowDxfId="446">
      <calculatedColumnFormula>#REF!</calculatedColumnFormula>
    </tableColumn>
    <tableColumn id="4" name="Difference" totalsRowFunction="sum" dataDxfId="445" totalsRowDxfId="444">
      <calculatedColumnFormula>Table7244860728496108714[Projected Cost]-Table7244860728496108714[Actual Cost]</calculatedColumnFormula>
    </tableColumn>
  </tableColumns>
  <tableStyleInfo name="TableStyleMedium23" showFirstColumn="0" showLastColumn="0" showRowStripes="1" showColumnStripes="0"/>
</table>
</file>

<file path=xl/tables/table27.xml><?xml version="1.0" encoding="utf-8"?>
<table xmlns="http://schemas.openxmlformats.org/spreadsheetml/2006/main" id="14" name="Table2254961738597109815" displayName="Table2254961738597109815" ref="B53:E59" totalsRowCount="1" headerRowDxfId="443" dataDxfId="442" totalsRowDxfId="440" tableBorderDxfId="441">
  <autoFilter ref="B53:E58"/>
  <tableColumns count="4">
    <tableColumn id="1" name="ENTERTAINMENT" totalsRowLabel="Total" dataDxfId="439" totalsRowDxfId="438"/>
    <tableColumn id="2" name="Projected Cost" totalsRowFunction="sum" dataDxfId="437" totalsRowDxfId="436"/>
    <tableColumn id="3" name="Actual Cost" totalsRowFunction="sum" dataDxfId="435" totalsRowDxfId="434"/>
    <tableColumn id="4" name="Difference" totalsRowFunction="sum" dataDxfId="433" totalsRowDxfId="432">
      <calculatedColumnFormula>Table2254961738597109815[Projected Cost]-Table2254961738597109815[Actual Cost]</calculatedColumnFormula>
    </tableColumn>
  </tableColumns>
  <tableStyleInfo name="TableStyleMedium23" showFirstColumn="0" showLastColumn="0" showRowStripes="1" showColumnStripes="0"/>
</table>
</file>

<file path=xl/tables/table28.xml><?xml version="1.0" encoding="utf-8"?>
<table xmlns="http://schemas.openxmlformats.org/spreadsheetml/2006/main" id="15" name="Table1143850627486982916" displayName="Table1143850627486982916" ref="B11:E17" totalsRowCount="1" headerRowDxfId="431" dataDxfId="430" totalsRowDxfId="428" tableBorderDxfId="429">
  <autoFilter ref="B11:E16"/>
  <tableColumns count="4">
    <tableColumn id="1" name="SCHOOL" totalsRowLabel="Total" dataDxfId="427" totalsRowDxfId="426"/>
    <tableColumn id="2" name="Projected Cost" totalsRowFunction="sum" dataDxfId="425" totalsRowDxfId="424"/>
    <tableColumn id="3" name="Actual Cost" totalsRowFunction="sum" dataDxfId="423" totalsRowDxfId="422"/>
    <tableColumn id="4" name="Difference" totalsRowFunction="sum" dataDxfId="421" totalsRowDxfId="420">
      <calculatedColumnFormula>Table1143850627486982916[Projected Cost]-Table1143850627486982916[Actual Cost]</calculatedColumnFormula>
    </tableColumn>
  </tableColumns>
  <tableStyleInfo name="TableStyleMedium23" showFirstColumn="0" showLastColumn="0" showRowStripes="1" showColumnStripes="0"/>
</table>
</file>

<file path=xl/tables/table29.xml><?xml version="1.0" encoding="utf-8"?>
<table xmlns="http://schemas.openxmlformats.org/spreadsheetml/2006/main" id="16" name="Table11438506274869831017" displayName="Table11438506274869831017" ref="B19:E25" totalsRowCount="1" headerRowDxfId="419" dataDxfId="418" totalsRowDxfId="416" tableBorderDxfId="417">
  <autoFilter ref="B19:E24"/>
  <tableColumns count="4">
    <tableColumn id="1" name="HOUSING" totalsRowLabel="Total" dataDxfId="415" totalsRowDxfId="414"/>
    <tableColumn id="2" name="Projected Cost" totalsRowFunction="sum" dataDxfId="413" totalsRowDxfId="412"/>
    <tableColumn id="3" name="Actual Cost" totalsRowFunction="sum" dataDxfId="411" totalsRowDxfId="410"/>
    <tableColumn id="4" name="Difference" totalsRowFunction="sum" dataDxfId="409" totalsRowDxfId="408">
      <calculatedColumnFormula>Table11438506274869831017[Projected Cost]-Table11438506274869831017[Actual Cost]</calculatedColumnFormula>
    </tableColumn>
  </tableColumns>
  <tableStyleInfo name="TableStyleMedium23" showFirstColumn="0" showLastColumn="0" showRowStripes="1" showColumnStripes="0"/>
</table>
</file>

<file path=xl/tables/table3.xml><?xml version="1.0" encoding="utf-8"?>
<table xmlns="http://schemas.openxmlformats.org/spreadsheetml/2006/main" id="60" name="Table519435567799110361" displayName="Table519435567799110361" ref="B39:E43" totalsRowCount="1" headerRowDxfId="731" dataDxfId="730" totalsRowDxfId="728" tableBorderDxfId="729">
  <autoFilter ref="B39:E42"/>
  <tableColumns count="4">
    <tableColumn id="1" name="FOOD" totalsRowLabel="Total" dataDxfId="727" totalsRowDxfId="726"/>
    <tableColumn id="2" name="Projected Cost" totalsRowFunction="sum" dataDxfId="725" totalsRowDxfId="724">
      <calculatedColumnFormula>IF('Starting Page'!$I$24="Yes",'Starting Page'!I26,Table5194355677991103[[#This Row],[Projected Cost]]+Table51943556779911035[[#This Row],[Projected Cost]]+Table5194355677991103512[[#This Row],[Projected Cost]]+Table519435567799110351219[[#This Row],[Projected Cost]]+Table519435567799110326[[#This Row],[Projected Cost]]+Table51943556779911035121933[[#This Row],[Projected Cost]]+Table5194355677991103512193340[[#This Row],[Projected Cost]]+Table519435567799110351219334047[[#This Row],[Projected Cost]])</calculatedColumnFormula>
    </tableColumn>
    <tableColumn id="3" name="Actual Cost" totalsRowFunction="sum" dataDxfId="723" totalsRowDxfId="722">
      <calculatedColumnFormula>Table5194355677991103[[#This Row],[Actual Cost]]+Table51943556779911035[[#This Row],[Actual Cost]]+Table5194355677991103512[[#This Row],[Actual Cost]]+Table519435567799110351219[[#This Row],[Actual Cost]]+Table519435567799110326[[#This Row],[Actual Cost]]+Table51943556779911035121933[[#This Row],[Actual Cost]]+Table5194355677991103512193340[[#This Row],[Actual Cost]]+Table519435567799110351219334047[[#This Row],[Actual Cost]]</calculatedColumnFormula>
    </tableColumn>
    <tableColumn id="4" name="Difference" totalsRowFunction="sum" dataDxfId="721" totalsRowDxfId="720">
      <calculatedColumnFormula>Table519435567799110361[Projected Cost]-Table519435567799110361[Actual Cost]</calculatedColumnFormula>
    </tableColumn>
  </tableColumns>
  <tableStyleInfo name="TableStyleMedium23" showFirstColumn="0" showLastColumn="0" showRowStripes="1" showColumnStripes="0"/>
</table>
</file>

<file path=xl/tables/table30.xml><?xml version="1.0" encoding="utf-8"?>
<table xmlns="http://schemas.openxmlformats.org/spreadsheetml/2006/main" id="17" name="Table41539516375879941118" displayName="Table41539516375879941118" ref="B35:E37" totalsRowCount="1" headerRowDxfId="407" dataDxfId="406" totalsRowDxfId="404" tableBorderDxfId="405">
  <autoFilter ref="B35:E36"/>
  <tableColumns count="4">
    <tableColumn id="1" name="INSURANCE" totalsRowLabel="Total" dataDxfId="403" totalsRowDxfId="402"/>
    <tableColumn id="2" name="Projected Cost" totalsRowFunction="sum" dataDxfId="401" totalsRowDxfId="400"/>
    <tableColumn id="3" name="Actual Cost" totalsRowFunction="sum" dataDxfId="399" totalsRowDxfId="398">
      <calculatedColumnFormula>L46</calculatedColumnFormula>
    </tableColumn>
    <tableColumn id="4" name="Difference" totalsRowFunction="sum" dataDxfId="397" totalsRowDxfId="396">
      <calculatedColumnFormula>Table41539516375879941118[Projected Cost]-Table41539516375879941118[Actual Cost]</calculatedColumnFormula>
    </tableColumn>
  </tableColumns>
  <tableStyleInfo name="TableStyleMedium23" showFirstColumn="0" showLastColumn="0" showRowStripes="1" showColumnStripes="0"/>
</table>
</file>

<file path=xl/tables/table31.xml><?xml version="1.0" encoding="utf-8"?>
<table xmlns="http://schemas.openxmlformats.org/spreadsheetml/2006/main" id="18" name="Table519435567799110351219" displayName="Table519435567799110351219" ref="B39:E43" totalsRowCount="1" headerRowDxfId="395" dataDxfId="394" totalsRowDxfId="392" tableBorderDxfId="393">
  <autoFilter ref="B39:E42"/>
  <tableColumns count="4">
    <tableColumn id="1" name="FOOD" totalsRowLabel="Total" dataDxfId="391" totalsRowDxfId="390"/>
    <tableColumn id="2" name="Projected Cost" totalsRowFunction="sum" dataDxfId="389" totalsRowDxfId="388"/>
    <tableColumn id="3" name="Actual Cost" totalsRowFunction="sum" dataDxfId="387" totalsRowDxfId="386">
      <calculatedColumnFormula>#REF!</calculatedColumnFormula>
    </tableColumn>
    <tableColumn id="4" name="Difference" totalsRowFunction="sum" dataDxfId="385" totalsRowDxfId="384">
      <calculatedColumnFormula>Table519435567799110351219[Projected Cost]-Table519435567799110351219[Actual Cost]</calculatedColumnFormula>
    </tableColumn>
  </tableColumns>
  <tableStyleInfo name="TableStyleMedium23" showFirstColumn="0" showLastColumn="0" showRowStripes="1" showColumnStripes="0"/>
</table>
</file>

<file path=xl/tables/table32.xml><?xml version="1.0" encoding="utf-8"?>
<table xmlns="http://schemas.openxmlformats.org/spreadsheetml/2006/main" id="19" name="Table321455769819310561320" displayName="Table321455769819310561320" ref="B27:E33" totalsRowCount="1" headerRowDxfId="383" dataDxfId="382" totalsRowDxfId="380" tableBorderDxfId="381">
  <autoFilter ref="B27:E32"/>
  <tableColumns count="4">
    <tableColumn id="1" name="TRANSPORTATION" totalsRowLabel="Total" dataDxfId="379" totalsRowDxfId="378"/>
    <tableColumn id="2" name="Projected Cost" totalsRowFunction="sum" dataDxfId="377" totalsRowDxfId="376"/>
    <tableColumn id="3" name="Actual Cost" totalsRowFunction="sum" dataDxfId="375" totalsRowDxfId="374">
      <calculatedColumnFormula>#REF!</calculatedColumnFormula>
    </tableColumn>
    <tableColumn id="4" name="Difference" totalsRowFunction="sum" dataDxfId="373" totalsRowDxfId="372">
      <calculatedColumnFormula>Table321455769819310561320[Projected Cost]-Table321455769819310561320[Actual Cost]</calculatedColumnFormula>
    </tableColumn>
  </tableColumns>
  <tableStyleInfo name="TableStyleMedium23" showFirstColumn="0" showLastColumn="0" showRowStripes="1" showColumnStripes="0"/>
</table>
</file>

<file path=xl/tables/table33.xml><?xml version="1.0" encoding="utf-8"?>
<table xmlns="http://schemas.openxmlformats.org/spreadsheetml/2006/main" id="20" name="Table724486072849610871421" displayName="Table724486072849610871421" ref="B45:E51" totalsRowCount="1" headerRowDxfId="371" dataDxfId="370" totalsRowDxfId="368" tableBorderDxfId="369">
  <autoFilter ref="B45:E50"/>
  <tableColumns count="4">
    <tableColumn id="1" name="PERSONAL CARE" totalsRowLabel="Total" dataDxfId="367" totalsRowDxfId="366"/>
    <tableColumn id="2" name="Projected Cost" totalsRowFunction="sum" dataDxfId="365" totalsRowDxfId="364"/>
    <tableColumn id="3" name="Actual Cost" totalsRowFunction="sum" dataDxfId="363" totalsRowDxfId="362">
      <calculatedColumnFormula>#REF!</calculatedColumnFormula>
    </tableColumn>
    <tableColumn id="4" name="Difference" totalsRowFunction="sum" dataDxfId="361" totalsRowDxfId="360">
      <calculatedColumnFormula>Table724486072849610871421[Projected Cost]-Table724486072849610871421[Actual Cost]</calculatedColumnFormula>
    </tableColumn>
  </tableColumns>
  <tableStyleInfo name="TableStyleMedium23" showFirstColumn="0" showLastColumn="0" showRowStripes="1" showColumnStripes="0"/>
</table>
</file>

<file path=xl/tables/table34.xml><?xml version="1.0" encoding="utf-8"?>
<table xmlns="http://schemas.openxmlformats.org/spreadsheetml/2006/main" id="21" name="Table225496173859710981522" displayName="Table225496173859710981522" ref="B53:E59" totalsRowCount="1" headerRowDxfId="359" dataDxfId="358" totalsRowDxfId="356" tableBorderDxfId="357">
  <autoFilter ref="B53:E58"/>
  <tableColumns count="4">
    <tableColumn id="1" name="ENTERTAINMENT" totalsRowLabel="Total" dataDxfId="355" totalsRowDxfId="354"/>
    <tableColumn id="2" name="Projected Cost" totalsRowFunction="sum" dataDxfId="353" totalsRowDxfId="352"/>
    <tableColumn id="3" name="Actual Cost" totalsRowFunction="sum" dataDxfId="351" totalsRowDxfId="350"/>
    <tableColumn id="4" name="Difference" totalsRowFunction="sum" dataDxfId="349" totalsRowDxfId="348">
      <calculatedColumnFormula>Table225496173859710981522[Projected Cost]-Table225496173859710981522[Actual Cost]</calculatedColumnFormula>
    </tableColumn>
  </tableColumns>
  <tableStyleInfo name="TableStyleMedium23" showFirstColumn="0" showLastColumn="0" showRowStripes="1" showColumnStripes="0"/>
</table>
</file>

<file path=xl/tables/table35.xml><?xml version="1.0" encoding="utf-8"?>
<table xmlns="http://schemas.openxmlformats.org/spreadsheetml/2006/main" id="22" name="Table114385062748698291623" displayName="Table114385062748698291623" ref="B11:E17" totalsRowCount="1" headerRowDxfId="347" dataDxfId="346" totalsRowDxfId="344" tableBorderDxfId="345">
  <autoFilter ref="B11:E16"/>
  <tableColumns count="4">
    <tableColumn id="1" name="SCHOOL" totalsRowLabel="Total" dataDxfId="343" totalsRowDxfId="342"/>
    <tableColumn id="2" name="Projected Cost" totalsRowFunction="sum" dataDxfId="341" totalsRowDxfId="340"/>
    <tableColumn id="3" name="Actual Cost" totalsRowFunction="sum" dataDxfId="339" totalsRowDxfId="338"/>
    <tableColumn id="4" name="Difference" totalsRowFunction="sum" dataDxfId="337" totalsRowDxfId="336">
      <calculatedColumnFormula>Table114385062748698291623[Projected Cost]-Table114385062748698291623[Actual Cost]</calculatedColumnFormula>
    </tableColumn>
  </tableColumns>
  <tableStyleInfo name="TableStyleMedium23" showFirstColumn="0" showLastColumn="0" showRowStripes="1" showColumnStripes="0"/>
</table>
</file>

<file path=xl/tables/table36.xml><?xml version="1.0" encoding="utf-8"?>
<table xmlns="http://schemas.openxmlformats.org/spreadsheetml/2006/main" id="23" name="Table11438506274869824" displayName="Table11438506274869824" ref="B19:E25" totalsRowCount="1" headerRowDxfId="335" dataDxfId="334" totalsRowDxfId="332" tableBorderDxfId="333">
  <autoFilter ref="B19:E24"/>
  <tableColumns count="4">
    <tableColumn id="1" name="HOUSING" totalsRowLabel="Total" dataDxfId="331" totalsRowDxfId="330"/>
    <tableColumn id="2" name="Projected Cost" totalsRowFunction="sum" dataDxfId="329" totalsRowDxfId="328"/>
    <tableColumn id="3" name="Actual Cost" totalsRowFunction="sum" dataDxfId="327" totalsRowDxfId="326"/>
    <tableColumn id="4" name="Difference" totalsRowFunction="sum" dataDxfId="325" totalsRowDxfId="324">
      <calculatedColumnFormula>Table11438506274869824[Projected Cost]-Table11438506274869824[Actual Cost]</calculatedColumnFormula>
    </tableColumn>
  </tableColumns>
  <tableStyleInfo name="TableStyleMedium23" showFirstColumn="0" showLastColumn="0" showRowStripes="1" showColumnStripes="0"/>
</table>
</file>

<file path=xl/tables/table37.xml><?xml version="1.0" encoding="utf-8"?>
<table xmlns="http://schemas.openxmlformats.org/spreadsheetml/2006/main" id="24" name="Table41539516375879925" displayName="Table41539516375879925" ref="B35:E37" totalsRowCount="1" headerRowDxfId="323" dataDxfId="322" totalsRowDxfId="320" tableBorderDxfId="321">
  <autoFilter ref="B35:E36"/>
  <tableColumns count="4">
    <tableColumn id="1" name="INSURANCE" totalsRowLabel="Total" dataDxfId="319" totalsRowDxfId="318"/>
    <tableColumn id="2" name="Projected Cost" totalsRowFunction="sum" dataDxfId="317" totalsRowDxfId="316"/>
    <tableColumn id="3" name="Actual Cost" totalsRowFunction="sum" dataDxfId="315" totalsRowDxfId="314">
      <calculatedColumnFormula>L46</calculatedColumnFormula>
    </tableColumn>
    <tableColumn id="4" name="Difference" totalsRowFunction="sum" dataDxfId="313" totalsRowDxfId="312">
      <calculatedColumnFormula>Table41539516375879925[Projected Cost]-Table41539516375879925[Actual Cost]</calculatedColumnFormula>
    </tableColumn>
  </tableColumns>
  <tableStyleInfo name="TableStyleMedium23" showFirstColumn="0" showLastColumn="0" showRowStripes="1" showColumnStripes="0"/>
</table>
</file>

<file path=xl/tables/table38.xml><?xml version="1.0" encoding="utf-8"?>
<table xmlns="http://schemas.openxmlformats.org/spreadsheetml/2006/main" id="25" name="Table519435567799110326" displayName="Table519435567799110326" ref="B39:E43" totalsRowCount="1" headerRowDxfId="311" dataDxfId="310" totalsRowDxfId="308" tableBorderDxfId="309">
  <autoFilter ref="B39:E42"/>
  <tableColumns count="4">
    <tableColumn id="1" name="FOOD" totalsRowLabel="Total" dataDxfId="307" totalsRowDxfId="306"/>
    <tableColumn id="2" name="Projected Cost" totalsRowFunction="sum" dataDxfId="305" totalsRowDxfId="304"/>
    <tableColumn id="3" name="Actual Cost" totalsRowFunction="sum" dataDxfId="303" totalsRowDxfId="302">
      <calculatedColumnFormula>#REF!</calculatedColumnFormula>
    </tableColumn>
    <tableColumn id="4" name="Difference" totalsRowFunction="sum" dataDxfId="301" totalsRowDxfId="300">
      <calculatedColumnFormula>Table519435567799110326[Projected Cost]-Table519435567799110326[Actual Cost]</calculatedColumnFormula>
    </tableColumn>
  </tableColumns>
  <tableStyleInfo name="TableStyleMedium23" showFirstColumn="0" showLastColumn="0" showRowStripes="1" showColumnStripes="0"/>
</table>
</file>

<file path=xl/tables/table39.xml><?xml version="1.0" encoding="utf-8"?>
<table xmlns="http://schemas.openxmlformats.org/spreadsheetml/2006/main" id="26" name="Table321455769819310527" displayName="Table321455769819310527" ref="B27:E33" totalsRowCount="1" headerRowDxfId="299" dataDxfId="298" totalsRowDxfId="296" tableBorderDxfId="297">
  <autoFilter ref="B27:E32"/>
  <tableColumns count="4">
    <tableColumn id="1" name="TRANSPORTATION" totalsRowLabel="Total" dataDxfId="295" totalsRowDxfId="294"/>
    <tableColumn id="2" name="Projected Cost" totalsRowFunction="sum" dataDxfId="293" totalsRowDxfId="292"/>
    <tableColumn id="3" name="Actual Cost" totalsRowFunction="sum" dataDxfId="291" totalsRowDxfId="290">
      <calculatedColumnFormula>#REF!</calculatedColumnFormula>
    </tableColumn>
    <tableColumn id="4" name="Difference" totalsRowFunction="sum" dataDxfId="289" totalsRowDxfId="288">
      <calculatedColumnFormula>Table321455769819310527[Projected Cost]-Table321455769819310527[Actual Cost]</calculatedColumnFormula>
    </tableColumn>
  </tableColumns>
  <tableStyleInfo name="TableStyleMedium23" showFirstColumn="0" showLastColumn="0" showRowStripes="1" showColumnStripes="0"/>
</table>
</file>

<file path=xl/tables/table4.xml><?xml version="1.0" encoding="utf-8"?>
<table xmlns="http://schemas.openxmlformats.org/spreadsheetml/2006/main" id="61" name="Table321455769819310562" displayName="Table321455769819310562" ref="B27:E33" totalsRowCount="1" headerRowDxfId="719" dataDxfId="718" totalsRowDxfId="716" tableBorderDxfId="717">
  <autoFilter ref="B27:E32"/>
  <tableColumns count="4">
    <tableColumn id="1" name="TRANSPORTATION" totalsRowLabel="Total" dataDxfId="715" totalsRowDxfId="714"/>
    <tableColumn id="2" name="Projected Cost" totalsRowFunction="sum" dataDxfId="713" totalsRowDxfId="712">
      <calculatedColumnFormula>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calculatedColumnFormula>
    </tableColumn>
    <tableColumn id="3" name="Actual Cost" totalsRowFunction="sum" dataDxfId="711" totalsRowDxfId="710">
      <calculatedColumnFormula>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calculatedColumnFormula>
    </tableColumn>
    <tableColumn id="4" name="Difference" totalsRowFunction="sum" dataDxfId="709" totalsRowDxfId="708">
      <calculatedColumnFormula>Table321455769819310562[Projected Cost]-Table321455769819310562[Actual Cost]</calculatedColumnFormula>
    </tableColumn>
  </tableColumns>
  <tableStyleInfo name="TableStyleMedium23" showFirstColumn="0" showLastColumn="0" showRowStripes="1" showColumnStripes="0"/>
</table>
</file>

<file path=xl/tables/table40.xml><?xml version="1.0" encoding="utf-8"?>
<table xmlns="http://schemas.openxmlformats.org/spreadsheetml/2006/main" id="27" name="Table724486072849610828" displayName="Table724486072849610828" ref="B45:E51" totalsRowCount="1" headerRowDxfId="287" dataDxfId="286" totalsRowDxfId="284" tableBorderDxfId="285">
  <autoFilter ref="B45:E50"/>
  <tableColumns count="4">
    <tableColumn id="1" name="PERSONAL CARE" totalsRowLabel="Total" dataDxfId="283" totalsRowDxfId="282"/>
    <tableColumn id="2" name="Projected Cost" totalsRowFunction="sum" dataDxfId="281" totalsRowDxfId="280"/>
    <tableColumn id="3" name="Actual Cost" totalsRowFunction="sum" dataDxfId="279" totalsRowDxfId="278">
      <calculatedColumnFormula>#REF!</calculatedColumnFormula>
    </tableColumn>
    <tableColumn id="4" name="Difference" totalsRowFunction="sum" dataDxfId="277" totalsRowDxfId="276">
      <calculatedColumnFormula>Table724486072849610828[Projected Cost]-Table724486072849610828[Actual Cost]</calculatedColumnFormula>
    </tableColumn>
  </tableColumns>
  <tableStyleInfo name="TableStyleMedium23" showFirstColumn="0" showLastColumn="0" showRowStripes="1" showColumnStripes="0"/>
</table>
</file>

<file path=xl/tables/table41.xml><?xml version="1.0" encoding="utf-8"?>
<table xmlns="http://schemas.openxmlformats.org/spreadsheetml/2006/main" id="28" name="Table225496173859710929" displayName="Table225496173859710929" ref="B53:E59" totalsRowCount="1" headerRowDxfId="275" dataDxfId="274" totalsRowDxfId="272" tableBorderDxfId="273">
  <autoFilter ref="B53:E58"/>
  <tableColumns count="4">
    <tableColumn id="1" name="ENTERTAINMENT" totalsRowLabel="Total" dataDxfId="271" totalsRowDxfId="270"/>
    <tableColumn id="2" name="Projected Cost" totalsRowFunction="sum" dataDxfId="269" totalsRowDxfId="268"/>
    <tableColumn id="3" name="Actual Cost" totalsRowFunction="sum" dataDxfId="267" totalsRowDxfId="266"/>
    <tableColumn id="4" name="Difference" totalsRowFunction="sum" dataDxfId="265" totalsRowDxfId="264">
      <calculatedColumnFormula>Table225496173859710929[Projected Cost]-Table225496173859710929[Actual Cost]</calculatedColumnFormula>
    </tableColumn>
  </tableColumns>
  <tableStyleInfo name="TableStyleMedium23" showFirstColumn="0" showLastColumn="0" showRowStripes="1" showColumnStripes="0"/>
</table>
</file>

<file path=xl/tables/table42.xml><?xml version="1.0" encoding="utf-8"?>
<table xmlns="http://schemas.openxmlformats.org/spreadsheetml/2006/main" id="29" name="Table114385062748698230" displayName="Table114385062748698230" ref="B11:E17" totalsRowCount="1" headerRowDxfId="263" dataDxfId="262" totalsRowDxfId="260" tableBorderDxfId="261">
  <autoFilter ref="B11:E16"/>
  <tableColumns count="4">
    <tableColumn id="1" name="SCHOOL" totalsRowLabel="Total" dataDxfId="259" totalsRowDxfId="258"/>
    <tableColumn id="2" name="Projected Cost" totalsRowFunction="sum" dataDxfId="257" totalsRowDxfId="256"/>
    <tableColumn id="3" name="Actual Cost" totalsRowFunction="sum" dataDxfId="255" totalsRowDxfId="254"/>
    <tableColumn id="4" name="Difference" totalsRowFunction="sum" dataDxfId="253" totalsRowDxfId="252">
      <calculatedColumnFormula>Table114385062748698230[Projected Cost]-Table114385062748698230[Actual Cost]</calculatedColumnFormula>
    </tableColumn>
  </tableColumns>
  <tableStyleInfo name="TableStyleMedium23" showFirstColumn="0" showLastColumn="0" showRowStripes="1" showColumnStripes="0"/>
</table>
</file>

<file path=xl/tables/table43.xml><?xml version="1.0" encoding="utf-8"?>
<table xmlns="http://schemas.openxmlformats.org/spreadsheetml/2006/main" id="30" name="Table1143850627486983101731" displayName="Table1143850627486983101731" ref="B19:E25" totalsRowCount="1" headerRowDxfId="251" dataDxfId="250" totalsRowDxfId="248" tableBorderDxfId="249">
  <autoFilter ref="B19:E24"/>
  <tableColumns count="4">
    <tableColumn id="1" name="HOUSING" totalsRowLabel="Total" dataDxfId="247" totalsRowDxfId="246"/>
    <tableColumn id="2" name="Projected Cost" totalsRowFunction="sum" dataDxfId="245" totalsRowDxfId="244"/>
    <tableColumn id="3" name="Actual Cost" totalsRowFunction="sum" dataDxfId="243" totalsRowDxfId="242"/>
    <tableColumn id="4" name="Difference" totalsRowFunction="sum" dataDxfId="241" totalsRowDxfId="240">
      <calculatedColumnFormula>Table1143850627486983101731[Projected Cost]-Table1143850627486983101731[Actual Cost]</calculatedColumnFormula>
    </tableColumn>
  </tableColumns>
  <tableStyleInfo name="TableStyleMedium23" showFirstColumn="0" showLastColumn="0" showRowStripes="1" showColumnStripes="0"/>
</table>
</file>

<file path=xl/tables/table44.xml><?xml version="1.0" encoding="utf-8"?>
<table xmlns="http://schemas.openxmlformats.org/spreadsheetml/2006/main" id="31" name="Table4153951637587994111832" displayName="Table4153951637587994111832" ref="B35:E37" totalsRowCount="1" headerRowDxfId="239" dataDxfId="238" totalsRowDxfId="236" tableBorderDxfId="237">
  <autoFilter ref="B35:E36"/>
  <tableColumns count="4">
    <tableColumn id="1" name="INSURANCE" totalsRowLabel="Total" dataDxfId="235" totalsRowDxfId="234"/>
    <tableColumn id="2" name="Projected Cost" totalsRowFunction="sum" dataDxfId="233" totalsRowDxfId="232"/>
    <tableColumn id="3" name="Actual Cost" totalsRowFunction="sum" dataDxfId="231" totalsRowDxfId="230">
      <calculatedColumnFormula>L46</calculatedColumnFormula>
    </tableColumn>
    <tableColumn id="4" name="Difference" totalsRowFunction="sum" dataDxfId="229" totalsRowDxfId="228">
      <calculatedColumnFormula>Table4153951637587994111832[Projected Cost]-Table4153951637587994111832[Actual Cost]</calculatedColumnFormula>
    </tableColumn>
  </tableColumns>
  <tableStyleInfo name="TableStyleMedium23" showFirstColumn="0" showLastColumn="0" showRowStripes="1" showColumnStripes="0"/>
</table>
</file>

<file path=xl/tables/table45.xml><?xml version="1.0" encoding="utf-8"?>
<table xmlns="http://schemas.openxmlformats.org/spreadsheetml/2006/main" id="32" name="Table51943556779911035121933" displayName="Table51943556779911035121933" ref="B39:E43" totalsRowCount="1" headerRowDxfId="227" dataDxfId="226" totalsRowDxfId="224" tableBorderDxfId="225">
  <autoFilter ref="B39:E42"/>
  <tableColumns count="4">
    <tableColumn id="1" name="FOOD" totalsRowLabel="Total" dataDxfId="223" totalsRowDxfId="222"/>
    <tableColumn id="2" name="Projected Cost" totalsRowFunction="sum" dataDxfId="221" totalsRowDxfId="220"/>
    <tableColumn id="3" name="Actual Cost" totalsRowFunction="sum" dataDxfId="219" totalsRowDxfId="218">
      <calculatedColumnFormula>#REF!</calculatedColumnFormula>
    </tableColumn>
    <tableColumn id="4" name="Difference" totalsRowFunction="sum" dataDxfId="217" totalsRowDxfId="216">
      <calculatedColumnFormula>Table51943556779911035121933[Projected Cost]-Table51943556779911035121933[Actual Cost]</calculatedColumnFormula>
    </tableColumn>
  </tableColumns>
  <tableStyleInfo name="TableStyleMedium23" showFirstColumn="0" showLastColumn="0" showRowStripes="1" showColumnStripes="0"/>
</table>
</file>

<file path=xl/tables/table46.xml><?xml version="1.0" encoding="utf-8"?>
<table xmlns="http://schemas.openxmlformats.org/spreadsheetml/2006/main" id="33" name="Table32145576981931056132034" displayName="Table32145576981931056132034" ref="B27:E33" totalsRowCount="1" headerRowDxfId="215" dataDxfId="214" totalsRowDxfId="212" tableBorderDxfId="213">
  <autoFilter ref="B27:E32"/>
  <tableColumns count="4">
    <tableColumn id="1" name="TRANSPORTATION" totalsRowLabel="Total" dataDxfId="211" totalsRowDxfId="210"/>
    <tableColumn id="2" name="Projected Cost" totalsRowFunction="sum" dataDxfId="209" totalsRowDxfId="208"/>
    <tableColumn id="3" name="Actual Cost" totalsRowFunction="sum" dataDxfId="207" totalsRowDxfId="206">
      <calculatedColumnFormula>#REF!</calculatedColumnFormula>
    </tableColumn>
    <tableColumn id="4" name="Difference" totalsRowFunction="sum" dataDxfId="205" totalsRowDxfId="204">
      <calculatedColumnFormula>Table32145576981931056132034[Projected Cost]-Table32145576981931056132034[Actual Cost]</calculatedColumnFormula>
    </tableColumn>
  </tableColumns>
  <tableStyleInfo name="TableStyleMedium23" showFirstColumn="0" showLastColumn="0" showRowStripes="1" showColumnStripes="0"/>
</table>
</file>

<file path=xl/tables/table47.xml><?xml version="1.0" encoding="utf-8"?>
<table xmlns="http://schemas.openxmlformats.org/spreadsheetml/2006/main" id="34" name="Table72448607284961087142135" displayName="Table72448607284961087142135" ref="B45:E51" totalsRowCount="1" headerRowDxfId="203" dataDxfId="202" totalsRowDxfId="200" tableBorderDxfId="201">
  <autoFilter ref="B45:E50"/>
  <tableColumns count="4">
    <tableColumn id="1" name="PERSONAL CARE" totalsRowLabel="Total" dataDxfId="199" totalsRowDxfId="198"/>
    <tableColumn id="2" name="Projected Cost" totalsRowFunction="sum" dataDxfId="197" totalsRowDxfId="196"/>
    <tableColumn id="3" name="Actual Cost" totalsRowFunction="sum" dataDxfId="195" totalsRowDxfId="194">
      <calculatedColumnFormula>#REF!</calculatedColumnFormula>
    </tableColumn>
    <tableColumn id="4" name="Difference" totalsRowFunction="sum" dataDxfId="193" totalsRowDxfId="192">
      <calculatedColumnFormula>Table72448607284961087142135[Projected Cost]-Table72448607284961087142135[Actual Cost]</calculatedColumnFormula>
    </tableColumn>
  </tableColumns>
  <tableStyleInfo name="TableStyleMedium23" showFirstColumn="0" showLastColumn="0" showRowStripes="1" showColumnStripes="0"/>
</table>
</file>

<file path=xl/tables/table48.xml><?xml version="1.0" encoding="utf-8"?>
<table xmlns="http://schemas.openxmlformats.org/spreadsheetml/2006/main" id="35" name="Table22549617385971098152236" displayName="Table22549617385971098152236" ref="B53:E59" totalsRowCount="1" headerRowDxfId="191" dataDxfId="190" totalsRowDxfId="188" tableBorderDxfId="189">
  <autoFilter ref="B53:E58"/>
  <tableColumns count="4">
    <tableColumn id="1" name="ENTERTAINMENT" totalsRowLabel="Total" dataDxfId="187" totalsRowDxfId="186"/>
    <tableColumn id="2" name="Projected Cost" totalsRowFunction="sum" dataDxfId="185" totalsRowDxfId="184"/>
    <tableColumn id="3" name="Actual Cost" totalsRowFunction="sum" dataDxfId="183" totalsRowDxfId="182"/>
    <tableColumn id="4" name="Difference" totalsRowFunction="sum" dataDxfId="181" totalsRowDxfId="180">
      <calculatedColumnFormula>Table22549617385971098152236[Projected Cost]-Table22549617385971098152236[Actual Cost]</calculatedColumnFormula>
    </tableColumn>
  </tableColumns>
  <tableStyleInfo name="TableStyleMedium23" showFirstColumn="0" showLastColumn="0" showRowStripes="1" showColumnStripes="0"/>
</table>
</file>

<file path=xl/tables/table49.xml><?xml version="1.0" encoding="utf-8"?>
<table xmlns="http://schemas.openxmlformats.org/spreadsheetml/2006/main" id="36" name="Table11438506274869829162337" displayName="Table11438506274869829162337" ref="B11:E17" totalsRowCount="1" headerRowDxfId="179" dataDxfId="178" totalsRowDxfId="176" tableBorderDxfId="177">
  <autoFilter ref="B11:E16"/>
  <tableColumns count="4">
    <tableColumn id="1" name="SCHOOL" totalsRowLabel="Total" dataDxfId="175" totalsRowDxfId="174"/>
    <tableColumn id="2" name="Projected Cost" totalsRowFunction="sum" dataDxfId="173" totalsRowDxfId="172"/>
    <tableColumn id="3" name="Actual Cost" totalsRowFunction="sum" dataDxfId="171" totalsRowDxfId="170"/>
    <tableColumn id="4" name="Difference" totalsRowFunction="sum" dataDxfId="169" totalsRowDxfId="168">
      <calculatedColumnFormula>Table11438506274869829162337[Projected Cost]-Table11438506274869829162337[Actual Cost]</calculatedColumnFormula>
    </tableColumn>
  </tableColumns>
  <tableStyleInfo name="TableStyleMedium23" showFirstColumn="0" showLastColumn="0" showRowStripes="1" showColumnStripes="0"/>
</table>
</file>

<file path=xl/tables/table5.xml><?xml version="1.0" encoding="utf-8"?>
<table xmlns="http://schemas.openxmlformats.org/spreadsheetml/2006/main" id="62" name="Table724486072849610863" displayName="Table724486072849610863" ref="B45:E51" totalsRowCount="1" headerRowDxfId="707" dataDxfId="706" totalsRowDxfId="704" tableBorderDxfId="705">
  <autoFilter ref="B45:E50"/>
  <tableColumns count="4">
    <tableColumn id="1" name="PERSONAL CARE" totalsRowLabel="Total" dataDxfId="703" totalsRowDxfId="702"/>
    <tableColumn id="2" name="Projected Cost" totalsRowFunction="sum" dataDxfId="701" totalsRowDxfId="700">
      <calculatedColumnFormula>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calculatedColumnFormula>
    </tableColumn>
    <tableColumn id="3" name="Actual Cost" totalsRowFunction="sum" dataDxfId="699" totalsRowDxfId="698">
      <calculatedColumnFormula>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calculatedColumnFormula>
    </tableColumn>
    <tableColumn id="4" name="Difference" totalsRowFunction="sum" dataDxfId="697" totalsRowDxfId="696">
      <calculatedColumnFormula>Table724486072849610863[Projected Cost]-Table724486072849610863[Actual Cost]</calculatedColumnFormula>
    </tableColumn>
  </tableColumns>
  <tableStyleInfo name="TableStyleMedium23" showFirstColumn="0" showLastColumn="0" showRowStripes="1" showColumnStripes="0"/>
</table>
</file>

<file path=xl/tables/table50.xml><?xml version="1.0" encoding="utf-8"?>
<table xmlns="http://schemas.openxmlformats.org/spreadsheetml/2006/main" id="37" name="Table114385062748698310173138" displayName="Table114385062748698310173138" ref="B19:E25" totalsRowCount="1" headerRowDxfId="167" dataDxfId="166" totalsRowDxfId="164" tableBorderDxfId="165">
  <autoFilter ref="B19:E24"/>
  <tableColumns count="4">
    <tableColumn id="1" name="HOUSING" totalsRowLabel="Total" dataDxfId="163" totalsRowDxfId="162"/>
    <tableColumn id="2" name="Projected Cost" totalsRowFunction="sum" dataDxfId="161" totalsRowDxfId="160"/>
    <tableColumn id="3" name="Actual Cost" totalsRowFunction="sum" dataDxfId="159" totalsRowDxfId="158"/>
    <tableColumn id="4" name="Difference" totalsRowFunction="sum" dataDxfId="157" totalsRowDxfId="156">
      <calculatedColumnFormula>Table114385062748698310173138[Projected Cost]-Table114385062748698310173138[Actual Cost]</calculatedColumnFormula>
    </tableColumn>
  </tableColumns>
  <tableStyleInfo name="TableStyleMedium23" showFirstColumn="0" showLastColumn="0" showRowStripes="1" showColumnStripes="0"/>
</table>
</file>

<file path=xl/tables/table51.xml><?xml version="1.0" encoding="utf-8"?>
<table xmlns="http://schemas.openxmlformats.org/spreadsheetml/2006/main" id="38" name="Table415395163758799411183239" displayName="Table415395163758799411183239" ref="B35:E37" totalsRowCount="1" headerRowDxfId="155" dataDxfId="154" totalsRowDxfId="152" tableBorderDxfId="153">
  <autoFilter ref="B35:E36"/>
  <tableColumns count="4">
    <tableColumn id="1" name="INSURANCE" totalsRowLabel="Total" dataDxfId="151" totalsRowDxfId="150"/>
    <tableColumn id="2" name="Projected Cost" totalsRowFunction="sum" dataDxfId="149" totalsRowDxfId="148"/>
    <tableColumn id="3" name="Actual Cost" totalsRowFunction="sum" dataDxfId="147" totalsRowDxfId="146">
      <calculatedColumnFormula>L46</calculatedColumnFormula>
    </tableColumn>
    <tableColumn id="4" name="Difference" totalsRowFunction="sum" dataDxfId="145" totalsRowDxfId="144">
      <calculatedColumnFormula>Table415395163758799411183239[Projected Cost]-Table415395163758799411183239[Actual Cost]</calculatedColumnFormula>
    </tableColumn>
  </tableColumns>
  <tableStyleInfo name="TableStyleMedium23" showFirstColumn="0" showLastColumn="0" showRowStripes="1" showColumnStripes="0"/>
</table>
</file>

<file path=xl/tables/table52.xml><?xml version="1.0" encoding="utf-8"?>
<table xmlns="http://schemas.openxmlformats.org/spreadsheetml/2006/main" id="39" name="Table5194355677991103512193340" displayName="Table5194355677991103512193340" ref="B39:E43" totalsRowCount="1" headerRowDxfId="143" dataDxfId="142" totalsRowDxfId="140" tableBorderDxfId="141">
  <autoFilter ref="B39:E42"/>
  <tableColumns count="4">
    <tableColumn id="1" name="FOOD" totalsRowLabel="Total" dataDxfId="139" totalsRowDxfId="138"/>
    <tableColumn id="2" name="Projected Cost" totalsRowFunction="sum" dataDxfId="137" totalsRowDxfId="136"/>
    <tableColumn id="3" name="Actual Cost" totalsRowFunction="sum" dataDxfId="135" totalsRowDxfId="134">
      <calculatedColumnFormula>#REF!</calculatedColumnFormula>
    </tableColumn>
    <tableColumn id="4" name="Difference" totalsRowFunction="sum" dataDxfId="133" totalsRowDxfId="132">
      <calculatedColumnFormula>Table5194355677991103512193340[Projected Cost]-Table5194355677991103512193340[Actual Cost]</calculatedColumnFormula>
    </tableColumn>
  </tableColumns>
  <tableStyleInfo name="TableStyleMedium23" showFirstColumn="0" showLastColumn="0" showRowStripes="1" showColumnStripes="0"/>
</table>
</file>

<file path=xl/tables/table53.xml><?xml version="1.0" encoding="utf-8"?>
<table xmlns="http://schemas.openxmlformats.org/spreadsheetml/2006/main" id="40" name="Table3214557698193105613203441" displayName="Table3214557698193105613203441" ref="B27:E33" totalsRowCount="1" headerRowDxfId="131" dataDxfId="130" totalsRowDxfId="128" tableBorderDxfId="129">
  <autoFilter ref="B27:E32"/>
  <tableColumns count="4">
    <tableColumn id="1" name="TRANSPORTATION" totalsRowLabel="Total" dataDxfId="127" totalsRowDxfId="126"/>
    <tableColumn id="2" name="Projected Cost" totalsRowFunction="sum" dataDxfId="125" totalsRowDxfId="124"/>
    <tableColumn id="3" name="Actual Cost" totalsRowFunction="sum" dataDxfId="123" totalsRowDxfId="122">
      <calculatedColumnFormula>#REF!</calculatedColumnFormula>
    </tableColumn>
    <tableColumn id="4" name="Difference" totalsRowFunction="sum" dataDxfId="121" totalsRowDxfId="120">
      <calculatedColumnFormula>Table3214557698193105613203441[Projected Cost]-Table3214557698193105613203441[Actual Cost]</calculatedColumnFormula>
    </tableColumn>
  </tableColumns>
  <tableStyleInfo name="TableStyleMedium23" showFirstColumn="0" showLastColumn="0" showRowStripes="1" showColumnStripes="0"/>
</table>
</file>

<file path=xl/tables/table54.xml><?xml version="1.0" encoding="utf-8"?>
<table xmlns="http://schemas.openxmlformats.org/spreadsheetml/2006/main" id="41" name="Table7244860728496108714213542" displayName="Table7244860728496108714213542" ref="B45:E51" totalsRowCount="1" headerRowDxfId="119" dataDxfId="118" totalsRowDxfId="116" tableBorderDxfId="117">
  <autoFilter ref="B45:E50"/>
  <tableColumns count="4">
    <tableColumn id="1" name="PERSONAL CARE" totalsRowLabel="Total" dataDxfId="115" totalsRowDxfId="114"/>
    <tableColumn id="2" name="Projected Cost" totalsRowFunction="sum" dataDxfId="113" totalsRowDxfId="112"/>
    <tableColumn id="3" name="Actual Cost" totalsRowFunction="sum" dataDxfId="111" totalsRowDxfId="110">
      <calculatedColumnFormula>#REF!</calculatedColumnFormula>
    </tableColumn>
    <tableColumn id="4" name="Difference" totalsRowFunction="sum" dataDxfId="109" totalsRowDxfId="108">
      <calculatedColumnFormula>Table7244860728496108714213542[Projected Cost]-Table7244860728496108714213542[Actual Cost]</calculatedColumnFormula>
    </tableColumn>
  </tableColumns>
  <tableStyleInfo name="TableStyleMedium23" showFirstColumn="0" showLastColumn="0" showRowStripes="1" showColumnStripes="0"/>
</table>
</file>

<file path=xl/tables/table55.xml><?xml version="1.0" encoding="utf-8"?>
<table xmlns="http://schemas.openxmlformats.org/spreadsheetml/2006/main" id="42" name="Table2254961738597109815223643" displayName="Table2254961738597109815223643" ref="B53:E59" totalsRowCount="1" headerRowDxfId="107" dataDxfId="106" totalsRowDxfId="104" tableBorderDxfId="105">
  <autoFilter ref="B53:E58"/>
  <tableColumns count="4">
    <tableColumn id="1" name="ENTERTAINMENT" totalsRowLabel="Total" dataDxfId="103" totalsRowDxfId="102"/>
    <tableColumn id="2" name="Projected Cost" totalsRowFunction="sum" dataDxfId="101" totalsRowDxfId="100"/>
    <tableColumn id="3" name="Actual Cost" totalsRowFunction="sum" dataDxfId="99" totalsRowDxfId="98"/>
    <tableColumn id="4" name="Difference" totalsRowFunction="sum" dataDxfId="97" totalsRowDxfId="96">
      <calculatedColumnFormula>Table2254961738597109815223643[Projected Cost]-Table2254961738597109815223643[Actual Cost]</calculatedColumnFormula>
    </tableColumn>
  </tableColumns>
  <tableStyleInfo name="TableStyleMedium23" showFirstColumn="0" showLastColumn="0" showRowStripes="1" showColumnStripes="0"/>
</table>
</file>

<file path=xl/tables/table56.xml><?xml version="1.0" encoding="utf-8"?>
<table xmlns="http://schemas.openxmlformats.org/spreadsheetml/2006/main" id="43" name="Table1143850627486982916233744" displayName="Table1143850627486982916233744" ref="B11:E17" totalsRowCount="1" headerRowDxfId="95" dataDxfId="94" totalsRowDxfId="92" tableBorderDxfId="93">
  <autoFilter ref="B11:E16"/>
  <tableColumns count="4">
    <tableColumn id="1" name="SCHOOL" totalsRowLabel="Total" dataDxfId="91" totalsRowDxfId="90"/>
    <tableColumn id="2" name="Projected Cost" totalsRowFunction="sum" dataDxfId="89" totalsRowDxfId="88"/>
    <tableColumn id="3" name="Actual Cost" totalsRowFunction="sum" dataDxfId="87" totalsRowDxfId="86"/>
    <tableColumn id="4" name="Difference" totalsRowFunction="sum" dataDxfId="85" totalsRowDxfId="84">
      <calculatedColumnFormula>Table1143850627486982916233744[Projected Cost]-Table1143850627486982916233744[Actual Cost]</calculatedColumnFormula>
    </tableColumn>
  </tableColumns>
  <tableStyleInfo name="TableStyleMedium23" showFirstColumn="0" showLastColumn="0" showRowStripes="1" showColumnStripes="0"/>
</table>
</file>

<file path=xl/tables/table57.xml><?xml version="1.0" encoding="utf-8"?>
<table xmlns="http://schemas.openxmlformats.org/spreadsheetml/2006/main" id="44" name="Table11438506274869831017313845" displayName="Table11438506274869831017313845" ref="B19:E25" totalsRowCount="1" headerRowDxfId="83" dataDxfId="82" totalsRowDxfId="80" tableBorderDxfId="81">
  <autoFilter ref="B19:E24"/>
  <tableColumns count="4">
    <tableColumn id="1" name="HOUSING" totalsRowLabel="Total" dataDxfId="79" totalsRowDxfId="78"/>
    <tableColumn id="2" name="Projected Cost" totalsRowFunction="sum" dataDxfId="77" totalsRowDxfId="76"/>
    <tableColumn id="3" name="Actual Cost" totalsRowFunction="sum" dataDxfId="75" totalsRowDxfId="74"/>
    <tableColumn id="4" name="Difference" totalsRowFunction="sum" dataDxfId="73" totalsRowDxfId="72">
      <calculatedColumnFormula>Table11438506274869831017313845[Projected Cost]-Table11438506274869831017313845[Actual Cost]</calculatedColumnFormula>
    </tableColumn>
  </tableColumns>
  <tableStyleInfo name="TableStyleMedium23" showFirstColumn="0" showLastColumn="0" showRowStripes="1" showColumnStripes="0"/>
</table>
</file>

<file path=xl/tables/table58.xml><?xml version="1.0" encoding="utf-8"?>
<table xmlns="http://schemas.openxmlformats.org/spreadsheetml/2006/main" id="45" name="Table41539516375879941118323946" displayName="Table41539516375879941118323946" ref="B35:E37" totalsRowCount="1" headerRowDxfId="71" dataDxfId="70" totalsRowDxfId="68" tableBorderDxfId="69">
  <autoFilter ref="B35:E36"/>
  <tableColumns count="4">
    <tableColumn id="1" name="INSURANCE" totalsRowLabel="Total" dataDxfId="67" totalsRowDxfId="66"/>
    <tableColumn id="2" name="Projected Cost" totalsRowFunction="sum" dataDxfId="65" totalsRowDxfId="64"/>
    <tableColumn id="3" name="Actual Cost" totalsRowFunction="sum" dataDxfId="63" totalsRowDxfId="62">
      <calculatedColumnFormula>L46</calculatedColumnFormula>
    </tableColumn>
    <tableColumn id="4" name="Difference" totalsRowFunction="sum" dataDxfId="61" totalsRowDxfId="60">
      <calculatedColumnFormula>Table41539516375879941118323946[Projected Cost]-Table41539516375879941118323946[Actual Cost]</calculatedColumnFormula>
    </tableColumn>
  </tableColumns>
  <tableStyleInfo name="TableStyleMedium23" showFirstColumn="0" showLastColumn="0" showRowStripes="1" showColumnStripes="0"/>
</table>
</file>

<file path=xl/tables/table59.xml><?xml version="1.0" encoding="utf-8"?>
<table xmlns="http://schemas.openxmlformats.org/spreadsheetml/2006/main" id="46" name="Table519435567799110351219334047" displayName="Table519435567799110351219334047" ref="B39:E43" totalsRowCount="1" headerRowDxfId="59" dataDxfId="58" totalsRowDxfId="56" tableBorderDxfId="57">
  <autoFilter ref="B39:E42"/>
  <tableColumns count="4">
    <tableColumn id="1" name="FOOD" totalsRowLabel="Total" dataDxfId="55" totalsRowDxfId="54"/>
    <tableColumn id="2" name="Projected Cost" totalsRowFunction="sum" dataDxfId="53" totalsRowDxfId="52"/>
    <tableColumn id="3" name="Actual Cost" totalsRowFunction="sum" dataDxfId="51" totalsRowDxfId="50">
      <calculatedColumnFormula>#REF!</calculatedColumnFormula>
    </tableColumn>
    <tableColumn id="4" name="Difference" totalsRowFunction="sum" dataDxfId="49" totalsRowDxfId="48">
      <calculatedColumnFormula>Table519435567799110351219334047[Projected Cost]-Table519435567799110351219334047[Actual Cost]</calculatedColumnFormula>
    </tableColumn>
  </tableColumns>
  <tableStyleInfo name="TableStyleMedium23" showFirstColumn="0" showLastColumn="0" showRowStripes="1" showColumnStripes="0"/>
</table>
</file>

<file path=xl/tables/table6.xml><?xml version="1.0" encoding="utf-8"?>
<table xmlns="http://schemas.openxmlformats.org/spreadsheetml/2006/main" id="63" name="Table225496173859710964" displayName="Table225496173859710964" ref="B53:E59" totalsRowCount="1" headerRowDxfId="695" dataDxfId="694" totalsRowDxfId="692" tableBorderDxfId="693">
  <autoFilter ref="B53:E58"/>
  <tableColumns count="4">
    <tableColumn id="1" name="ENTERTAINMENT" totalsRowLabel="Total" dataDxfId="691" totalsRowDxfId="690"/>
    <tableColumn id="2" name="Projected Cost" totalsRowFunction="sum" dataDxfId="689" totalsRowDxfId="688">
      <calculatedColumnFormula>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calculatedColumnFormula>
    </tableColumn>
    <tableColumn id="3" name="Actual Cost" totalsRowFunction="sum" dataDxfId="687" totalsRowDxfId="686">
      <calculatedColumnFormula>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calculatedColumnFormula>
    </tableColumn>
    <tableColumn id="4" name="Difference" totalsRowFunction="sum" dataDxfId="685" totalsRowDxfId="684">
      <calculatedColumnFormula>Table225496173859710964[Projected Cost]-Table225496173859710964[Actual Cost]</calculatedColumnFormula>
    </tableColumn>
  </tableColumns>
  <tableStyleInfo name="TableStyleMedium23" showFirstColumn="0" showLastColumn="0" showRowStripes="1" showColumnStripes="0"/>
</table>
</file>

<file path=xl/tables/table60.xml><?xml version="1.0" encoding="utf-8"?>
<table xmlns="http://schemas.openxmlformats.org/spreadsheetml/2006/main" id="47" name="Table321455769819310561320344148" displayName="Table321455769819310561320344148" ref="B27:E33" totalsRowCount="1" headerRowDxfId="47" dataDxfId="46" totalsRowDxfId="44" tableBorderDxfId="45">
  <autoFilter ref="B27:E32"/>
  <tableColumns count="4">
    <tableColumn id="1" name="TRANSPORTATION" totalsRowLabel="Total" dataDxfId="43" totalsRowDxfId="42"/>
    <tableColumn id="2" name="Projected Cost" totalsRowFunction="sum" dataDxfId="41" totalsRowDxfId="40"/>
    <tableColumn id="3" name="Actual Cost" totalsRowFunction="sum" dataDxfId="39" totalsRowDxfId="38">
      <calculatedColumnFormula>#REF!</calculatedColumnFormula>
    </tableColumn>
    <tableColumn id="4" name="Difference" totalsRowFunction="sum" dataDxfId="37" totalsRowDxfId="36">
      <calculatedColumnFormula>Table321455769819310561320344148[Projected Cost]-Table321455769819310561320344148[Actual Cost]</calculatedColumnFormula>
    </tableColumn>
  </tableColumns>
  <tableStyleInfo name="TableStyleMedium23" showFirstColumn="0" showLastColumn="0" showRowStripes="1" showColumnStripes="0"/>
</table>
</file>

<file path=xl/tables/table61.xml><?xml version="1.0" encoding="utf-8"?>
<table xmlns="http://schemas.openxmlformats.org/spreadsheetml/2006/main" id="48" name="Table724486072849610871421354249" displayName="Table724486072849610871421354249" ref="B45:E51" totalsRowCount="1" headerRowDxfId="35" dataDxfId="34" totalsRowDxfId="32" tableBorderDxfId="33">
  <autoFilter ref="B45:E50"/>
  <tableColumns count="4">
    <tableColumn id="1" name="PERSONAL CARE" totalsRowLabel="Total" dataDxfId="31" totalsRowDxfId="30"/>
    <tableColumn id="2" name="Projected Cost" totalsRowFunction="sum" dataDxfId="29" totalsRowDxfId="28"/>
    <tableColumn id="3" name="Actual Cost" totalsRowFunction="sum" dataDxfId="27" totalsRowDxfId="26">
      <calculatedColumnFormula>#REF!</calculatedColumnFormula>
    </tableColumn>
    <tableColumn id="4" name="Difference" totalsRowFunction="sum" dataDxfId="25" totalsRowDxfId="24">
      <calculatedColumnFormula>Table724486072849610871421354249[Projected Cost]-Table724486072849610871421354249[Actual Cost]</calculatedColumnFormula>
    </tableColumn>
  </tableColumns>
  <tableStyleInfo name="TableStyleMedium23" showFirstColumn="0" showLastColumn="0" showRowStripes="1" showColumnStripes="0"/>
</table>
</file>

<file path=xl/tables/table62.xml><?xml version="1.0" encoding="utf-8"?>
<table xmlns="http://schemas.openxmlformats.org/spreadsheetml/2006/main" id="49" name="Table225496173859710981522364350" displayName="Table225496173859710981522364350" ref="B53:E59" totalsRowCount="1" headerRowDxfId="23" dataDxfId="22" totalsRowDxfId="20" tableBorderDxfId="21">
  <autoFilter ref="B53:E58"/>
  <tableColumns count="4">
    <tableColumn id="1" name="ENTERTAINMENT" totalsRowLabel="Total" dataDxfId="19" totalsRowDxfId="18"/>
    <tableColumn id="2" name="Projected Cost" totalsRowFunction="sum" dataDxfId="17" totalsRowDxfId="16"/>
    <tableColumn id="3" name="Actual Cost" totalsRowFunction="sum" dataDxfId="15" totalsRowDxfId="14"/>
    <tableColumn id="4" name="Difference" totalsRowFunction="sum" dataDxfId="13" totalsRowDxfId="12">
      <calculatedColumnFormula>Table225496173859710981522364350[Projected Cost]-Table225496173859710981522364350[Actual Cost]</calculatedColumnFormula>
    </tableColumn>
  </tableColumns>
  <tableStyleInfo name="TableStyleMedium23" showFirstColumn="0" showLastColumn="0" showRowStripes="1" showColumnStripes="0"/>
</table>
</file>

<file path=xl/tables/table63.xml><?xml version="1.0" encoding="utf-8"?>
<table xmlns="http://schemas.openxmlformats.org/spreadsheetml/2006/main" id="50" name="Table114385062748698291623374451" displayName="Table114385062748698291623374451" ref="B11:E17" totalsRowCount="1" headerRowDxfId="11" dataDxfId="10" totalsRowDxfId="8" tableBorderDxfId="9">
  <autoFilter ref="B11:E16"/>
  <tableColumns count="4">
    <tableColumn id="1" name="SCHOOL" totalsRowLabel="Total" dataDxfId="7" totalsRowDxfId="6"/>
    <tableColumn id="2" name="Projected Cost" totalsRowFunction="sum" dataDxfId="5" totalsRowDxfId="4"/>
    <tableColumn id="3" name="Actual Cost" totalsRowFunction="sum" dataDxfId="3" totalsRowDxfId="2"/>
    <tableColumn id="4" name="Difference" totalsRowFunction="sum" dataDxfId="1" totalsRowDxfId="0">
      <calculatedColumnFormula>Table114385062748698291623374451[Projected Cost]-Table114385062748698291623374451[Actual Cost]</calculatedColumnFormula>
    </tableColumn>
  </tableColumns>
  <tableStyleInfo name="TableStyleMedium23" showFirstColumn="0" showLastColumn="0" showRowStripes="1" showColumnStripes="0"/>
</table>
</file>

<file path=xl/tables/table7.xml><?xml version="1.0" encoding="utf-8"?>
<table xmlns="http://schemas.openxmlformats.org/spreadsheetml/2006/main" id="64" name="Table114385062748698265" displayName="Table114385062748698265" ref="B11:E17" totalsRowCount="1" headerRowDxfId="683" dataDxfId="682" totalsRowDxfId="680" tableBorderDxfId="681">
  <autoFilter ref="B11:E16"/>
  <tableColumns count="4">
    <tableColumn id="1" name="SCHOOL" totalsRowLabel="Total" dataDxfId="679" totalsRowDxfId="678"/>
    <tableColumn id="2" name="Projected Cost" totalsRowFunction="sum" dataDxfId="677" totalsRowDxfId="676"/>
    <tableColumn id="3" name="Actual Cost" totalsRowFunction="sum" dataDxfId="675" totalsRowDxfId="674">
      <calculatedColumnFormula>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calculatedColumnFormula>
    </tableColumn>
    <tableColumn id="4" name="Difference" totalsRowFunction="sum" dataDxfId="673" totalsRowDxfId="672">
      <calculatedColumnFormula>Table114385062748698265[Projected Cost]-Table114385062748698265[Actual Cost]</calculatedColumnFormula>
    </tableColumn>
  </tableColumns>
  <tableStyleInfo name="TableStyleMedium23" showFirstColumn="0" showLastColumn="0" showRowStripes="1" showColumnStripes="0"/>
</table>
</file>

<file path=xl/tables/table8.xml><?xml version="1.0" encoding="utf-8"?>
<table xmlns="http://schemas.openxmlformats.org/spreadsheetml/2006/main" id="97" name="Table114385062748698" displayName="Table114385062748698" ref="B19:E25" totalsRowCount="1" headerRowDxfId="671" dataDxfId="670" totalsRowDxfId="668" tableBorderDxfId="669">
  <autoFilter ref="B19:E24"/>
  <tableColumns count="4">
    <tableColumn id="1" name="HOUSING" totalsRowLabel="Total" dataDxfId="667" totalsRowDxfId="666"/>
    <tableColumn id="2" name="Projected Cost" totalsRowFunction="sum" dataDxfId="665" totalsRowDxfId="664"/>
    <tableColumn id="3" name="Actual Cost" totalsRowFunction="sum" dataDxfId="663" totalsRowDxfId="662"/>
    <tableColumn id="4" name="Difference" totalsRowFunction="sum" dataDxfId="661" totalsRowDxfId="660">
      <calculatedColumnFormula>Table114385062748698[Projected Cost]-Table114385062748698[Actual Cost]</calculatedColumnFormula>
    </tableColumn>
  </tableColumns>
  <tableStyleInfo name="TableStyleMedium23" showFirstColumn="0" showLastColumn="0" showRowStripes="1" showColumnStripes="0"/>
</table>
</file>

<file path=xl/tables/table9.xml><?xml version="1.0" encoding="utf-8"?>
<table xmlns="http://schemas.openxmlformats.org/spreadsheetml/2006/main" id="98" name="Table415395163758799" displayName="Table415395163758799" ref="B35:E37" totalsRowCount="1" headerRowDxfId="659" dataDxfId="658" totalsRowDxfId="656" tableBorderDxfId="657">
  <autoFilter ref="B35:E36"/>
  <tableColumns count="4">
    <tableColumn id="1" name="INSURANCE" totalsRowLabel="Total" dataDxfId="655" totalsRowDxfId="654"/>
    <tableColumn id="2" name="Projected Cost" totalsRowFunction="sum" dataDxfId="653" totalsRowDxfId="652"/>
    <tableColumn id="3" name="Actual Cost" totalsRowFunction="sum" dataDxfId="651" totalsRowDxfId="650">
      <calculatedColumnFormula>L46</calculatedColumnFormula>
    </tableColumn>
    <tableColumn id="4" name="Difference" totalsRowFunction="sum" dataDxfId="649" totalsRowDxfId="648">
      <calculatedColumnFormula>Table415395163758799[Projected Cost]-Table415395163758799[Actual Cost]</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cholartree.ca/" TargetMode="External"/></Relationships>
</file>

<file path=xl/worksheets/_rels/sheet10.xml.rels><?xml version="1.0" encoding="UTF-8" standalone="yes"?>
<Relationships xmlns="http://schemas.openxmlformats.org/package/2006/relationships"><Relationship Id="rId8" Type="http://schemas.openxmlformats.org/officeDocument/2006/relationships/table" Target="../tables/table62.xml"/><Relationship Id="rId3" Type="http://schemas.openxmlformats.org/officeDocument/2006/relationships/table" Target="../tables/table57.xml"/><Relationship Id="rId7" Type="http://schemas.openxmlformats.org/officeDocument/2006/relationships/table" Target="../tables/table6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60.xml"/><Relationship Id="rId5" Type="http://schemas.openxmlformats.org/officeDocument/2006/relationships/table" Target="../tables/table59.xml"/><Relationship Id="rId4" Type="http://schemas.openxmlformats.org/officeDocument/2006/relationships/table" Target="../tables/table58.xml"/><Relationship Id="rId9" Type="http://schemas.openxmlformats.org/officeDocument/2006/relationships/table" Target="../tables/table63.xm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 Id="rId9" Type="http://schemas.openxmlformats.org/officeDocument/2006/relationships/table" Target="../tables/table14.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 Id="rId9" Type="http://schemas.openxmlformats.org/officeDocument/2006/relationships/table" Target="../tables/table2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 Id="rId9" Type="http://schemas.openxmlformats.org/officeDocument/2006/relationships/table" Target="../tables/table28.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table" Target="../tables/table29.xml"/><Relationship Id="rId7" Type="http://schemas.openxmlformats.org/officeDocument/2006/relationships/table" Target="../tables/table3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32.xml"/><Relationship Id="rId5" Type="http://schemas.openxmlformats.org/officeDocument/2006/relationships/table" Target="../tables/table31.xml"/><Relationship Id="rId4" Type="http://schemas.openxmlformats.org/officeDocument/2006/relationships/table" Target="../tables/table30.xml"/><Relationship Id="rId9" Type="http://schemas.openxmlformats.org/officeDocument/2006/relationships/table" Target="../tables/table3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 Id="rId9" Type="http://schemas.openxmlformats.org/officeDocument/2006/relationships/table" Target="../tables/table42.xml"/></Relationships>
</file>

<file path=xl/worksheets/_rels/sheet8.xml.rels><?xml version="1.0" encoding="UTF-8" standalone="yes"?>
<Relationships xmlns="http://schemas.openxmlformats.org/package/2006/relationships"><Relationship Id="rId8" Type="http://schemas.openxmlformats.org/officeDocument/2006/relationships/table" Target="../tables/table48.xml"/><Relationship Id="rId3" Type="http://schemas.openxmlformats.org/officeDocument/2006/relationships/table" Target="../tables/table43.xml"/><Relationship Id="rId7" Type="http://schemas.openxmlformats.org/officeDocument/2006/relationships/table" Target="../tables/table4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46.xml"/><Relationship Id="rId5" Type="http://schemas.openxmlformats.org/officeDocument/2006/relationships/table" Target="../tables/table45.xml"/><Relationship Id="rId4" Type="http://schemas.openxmlformats.org/officeDocument/2006/relationships/table" Target="../tables/table44.xml"/><Relationship Id="rId9" Type="http://schemas.openxmlformats.org/officeDocument/2006/relationships/table" Target="../tables/table4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55.xml"/><Relationship Id="rId3" Type="http://schemas.openxmlformats.org/officeDocument/2006/relationships/table" Target="../tables/table50.xml"/><Relationship Id="rId7" Type="http://schemas.openxmlformats.org/officeDocument/2006/relationships/table" Target="../tables/table54.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53.xml"/><Relationship Id="rId5" Type="http://schemas.openxmlformats.org/officeDocument/2006/relationships/table" Target="../tables/table52.xml"/><Relationship Id="rId4" Type="http://schemas.openxmlformats.org/officeDocument/2006/relationships/table" Target="../tables/table51.xml"/><Relationship Id="rId9" Type="http://schemas.openxmlformats.org/officeDocument/2006/relationships/table" Target="../tables/table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zoomScale="125" zoomScaleNormal="100" workbookViewId="0">
      <pane ySplit="4" topLeftCell="A8" activePane="bottomLeft" state="frozen"/>
      <selection pane="bottomLeft" activeCell="J11" sqref="J11"/>
    </sheetView>
  </sheetViews>
  <sheetFormatPr defaultColWidth="8.7109375" defaultRowHeight="12.75" x14ac:dyDescent="0.2"/>
  <cols>
    <col min="1" max="4" width="8.7109375" style="42"/>
    <col min="5" max="5" width="10" style="42" bestFit="1" customWidth="1"/>
    <col min="6" max="8" width="8.7109375" style="42"/>
    <col min="9" max="9" width="12.28515625" style="42" bestFit="1" customWidth="1"/>
    <col min="10" max="18" width="8.7109375" style="42"/>
    <col min="19" max="19" width="12.28515625" style="42" hidden="1" customWidth="1"/>
    <col min="20" max="16384" width="8.7109375" style="42"/>
  </cols>
  <sheetData>
    <row r="1" spans="1:19" ht="25.9" customHeight="1" x14ac:dyDescent="0.2">
      <c r="A1" s="95" t="s">
        <v>108</v>
      </c>
      <c r="B1" s="95"/>
      <c r="C1" s="95"/>
      <c r="D1" s="95"/>
      <c r="E1" s="95"/>
      <c r="F1" s="95"/>
      <c r="G1" s="95"/>
    </row>
    <row r="2" spans="1:19" ht="13.9" customHeight="1" x14ac:dyDescent="0.2">
      <c r="A2" s="95"/>
      <c r="B2" s="95"/>
      <c r="C2" s="95"/>
      <c r="D2" s="95"/>
      <c r="E2" s="95"/>
      <c r="F2" s="95"/>
      <c r="G2" s="95"/>
      <c r="S2" s="42" t="s">
        <v>88</v>
      </c>
    </row>
    <row r="3" spans="1:19" ht="13.9" customHeight="1" x14ac:dyDescent="0.2">
      <c r="A3" s="96" t="s">
        <v>105</v>
      </c>
      <c r="B3" s="78"/>
      <c r="C3" s="78"/>
      <c r="D3" s="97" t="s">
        <v>111</v>
      </c>
      <c r="E3" s="95"/>
      <c r="F3" s="95"/>
      <c r="G3" s="78"/>
      <c r="S3" s="42" t="s">
        <v>89</v>
      </c>
    </row>
    <row r="4" spans="1:19" ht="13.9" customHeight="1" x14ac:dyDescent="0.2">
      <c r="A4" s="96"/>
      <c r="B4" s="78"/>
      <c r="C4" s="78"/>
      <c r="D4" s="95"/>
      <c r="E4" s="95"/>
      <c r="F4" s="95"/>
      <c r="G4" s="78"/>
      <c r="S4" s="42" t="s">
        <v>90</v>
      </c>
    </row>
    <row r="5" spans="1:19" x14ac:dyDescent="0.2">
      <c r="A5" s="82" t="s">
        <v>98</v>
      </c>
      <c r="B5" s="82"/>
      <c r="C5" s="82"/>
      <c r="D5" s="82"/>
      <c r="E5" s="82"/>
      <c r="F5" s="82"/>
      <c r="G5" s="82"/>
      <c r="H5" s="82"/>
      <c r="I5" s="82"/>
    </row>
    <row r="6" spans="1:19" x14ac:dyDescent="0.2">
      <c r="A6" s="82"/>
      <c r="B6" s="82"/>
      <c r="C6" s="82"/>
      <c r="D6" s="82"/>
      <c r="E6" s="82"/>
      <c r="F6" s="82"/>
      <c r="G6" s="82"/>
      <c r="H6" s="82"/>
      <c r="I6" s="82"/>
    </row>
    <row r="7" spans="1:19" x14ac:dyDescent="0.2">
      <c r="A7" s="76"/>
      <c r="B7" s="76"/>
      <c r="C7" s="76"/>
      <c r="D7" s="76"/>
      <c r="E7" s="76"/>
      <c r="F7" s="76"/>
      <c r="G7" s="76"/>
      <c r="H7" s="76"/>
      <c r="I7" s="76"/>
    </row>
    <row r="8" spans="1:19" x14ac:dyDescent="0.2">
      <c r="A8" s="83" t="s">
        <v>97</v>
      </c>
      <c r="B8" s="84"/>
      <c r="C8" s="84"/>
      <c r="D8" s="84"/>
      <c r="E8" s="84"/>
      <c r="F8" s="84"/>
      <c r="G8" s="84"/>
      <c r="H8" s="84"/>
      <c r="I8" s="84"/>
    </row>
    <row r="9" spans="1:19" ht="34.15" customHeight="1" x14ac:dyDescent="0.2">
      <c r="A9" s="86" t="s">
        <v>103</v>
      </c>
      <c r="B9" s="86"/>
      <c r="C9" s="86"/>
      <c r="D9" s="86"/>
      <c r="E9" s="86"/>
      <c r="F9" s="86"/>
      <c r="G9" s="86"/>
      <c r="H9" s="86"/>
      <c r="I9" s="86"/>
    </row>
    <row r="10" spans="1:19" ht="70.150000000000006" customHeight="1" x14ac:dyDescent="0.2">
      <c r="A10" s="87" t="s">
        <v>102</v>
      </c>
      <c r="B10" s="87"/>
      <c r="C10" s="87"/>
      <c r="D10" s="87"/>
      <c r="E10" s="87"/>
      <c r="F10" s="87"/>
      <c r="G10" s="87"/>
      <c r="H10" s="87"/>
      <c r="I10" s="87"/>
    </row>
    <row r="11" spans="1:19" ht="31.15" customHeight="1" x14ac:dyDescent="0.2">
      <c r="A11" s="86" t="s">
        <v>106</v>
      </c>
      <c r="B11" s="86"/>
      <c r="C11" s="86"/>
      <c r="D11" s="86"/>
      <c r="E11" s="86"/>
      <c r="F11" s="86"/>
      <c r="G11" s="86"/>
      <c r="H11" s="86"/>
      <c r="I11" s="86"/>
    </row>
    <row r="12" spans="1:19" ht="13.5" thickBot="1" x14ac:dyDescent="0.25">
      <c r="A12" s="85"/>
      <c r="B12" s="85"/>
      <c r="C12" s="85"/>
      <c r="D12" s="85"/>
      <c r="E12" s="85"/>
      <c r="F12" s="85"/>
      <c r="G12" s="85"/>
      <c r="H12" s="85"/>
      <c r="I12" s="85"/>
    </row>
    <row r="13" spans="1:19" ht="13.5" thickBot="1" x14ac:dyDescent="0.25">
      <c r="A13" s="92" t="s">
        <v>83</v>
      </c>
      <c r="B13" s="93"/>
      <c r="C13" s="93"/>
      <c r="D13" s="93"/>
      <c r="E13" s="93"/>
      <c r="F13" s="93"/>
      <c r="G13" s="93"/>
      <c r="H13" s="93"/>
      <c r="I13" s="94"/>
    </row>
    <row r="14" spans="1:19" x14ac:dyDescent="0.2">
      <c r="A14" s="80" t="s">
        <v>45</v>
      </c>
      <c r="B14" s="81"/>
      <c r="C14" s="81"/>
      <c r="D14" s="81"/>
      <c r="E14" s="81"/>
      <c r="F14" s="81"/>
      <c r="G14" s="81"/>
      <c r="H14" s="81"/>
      <c r="I14" s="70">
        <v>1000</v>
      </c>
    </row>
    <row r="15" spans="1:19" x14ac:dyDescent="0.2">
      <c r="A15" s="80" t="s">
        <v>84</v>
      </c>
      <c r="B15" s="81"/>
      <c r="C15" s="81"/>
      <c r="D15" s="81"/>
      <c r="E15" s="81"/>
      <c r="F15" s="81"/>
      <c r="G15" s="81"/>
      <c r="H15" s="81"/>
      <c r="I15" s="70">
        <v>0</v>
      </c>
    </row>
    <row r="16" spans="1:19" x14ac:dyDescent="0.2">
      <c r="A16" s="80" t="s">
        <v>85</v>
      </c>
      <c r="B16" s="81"/>
      <c r="C16" s="81"/>
      <c r="D16" s="81"/>
      <c r="E16" s="81"/>
      <c r="F16" s="81"/>
      <c r="G16" s="81"/>
      <c r="H16" s="81"/>
      <c r="I16" s="70">
        <v>2000</v>
      </c>
    </row>
    <row r="17" spans="1:9" ht="13.5" thickBot="1" x14ac:dyDescent="0.25">
      <c r="A17" s="90" t="s">
        <v>101</v>
      </c>
      <c r="B17" s="91"/>
      <c r="C17" s="91"/>
      <c r="D17" s="91"/>
      <c r="E17" s="91"/>
      <c r="F17" s="91"/>
      <c r="G17" s="91"/>
      <c r="H17" s="91"/>
      <c r="I17" s="71">
        <v>0</v>
      </c>
    </row>
    <row r="18" spans="1:9" ht="13.5" thickBot="1" x14ac:dyDescent="0.25">
      <c r="A18" s="88" t="s">
        <v>33</v>
      </c>
      <c r="B18" s="89"/>
      <c r="C18" s="89"/>
      <c r="D18" s="89"/>
      <c r="E18" s="89"/>
      <c r="F18" s="89"/>
      <c r="G18" s="89"/>
      <c r="H18" s="89"/>
      <c r="I18" s="72">
        <f>SUM(I14:I17)</f>
        <v>3000</v>
      </c>
    </row>
    <row r="19" spans="1:9" ht="13.5" thickBot="1" x14ac:dyDescent="0.25">
      <c r="A19" s="79"/>
      <c r="B19" s="79"/>
      <c r="C19" s="79"/>
      <c r="D19" s="79"/>
      <c r="E19" s="79"/>
      <c r="F19" s="79"/>
      <c r="G19" s="79"/>
      <c r="H19" s="79"/>
      <c r="I19" s="41"/>
    </row>
    <row r="20" spans="1:9" ht="13.5" thickBot="1" x14ac:dyDescent="0.25">
      <c r="A20" s="92" t="s">
        <v>50</v>
      </c>
      <c r="B20" s="93"/>
      <c r="C20" s="93"/>
      <c r="D20" s="93"/>
      <c r="E20" s="93"/>
      <c r="F20" s="93"/>
      <c r="G20" s="93"/>
      <c r="H20" s="93"/>
      <c r="I20" s="94"/>
    </row>
    <row r="21" spans="1:9" ht="13.5" thickBot="1" x14ac:dyDescent="0.25">
      <c r="A21" s="90" t="s">
        <v>91</v>
      </c>
      <c r="B21" s="91"/>
      <c r="C21" s="91"/>
      <c r="D21" s="91"/>
      <c r="E21" s="91"/>
      <c r="F21" s="91"/>
      <c r="G21" s="91"/>
      <c r="H21" s="91"/>
      <c r="I21" s="71">
        <v>7000</v>
      </c>
    </row>
    <row r="22" spans="1:9" ht="13.5" thickBot="1" x14ac:dyDescent="0.25">
      <c r="A22" s="79"/>
      <c r="B22" s="79"/>
      <c r="C22" s="79"/>
      <c r="D22" s="79"/>
      <c r="E22" s="79"/>
      <c r="F22" s="79"/>
      <c r="G22" s="79"/>
      <c r="H22" s="79"/>
    </row>
    <row r="23" spans="1:9" ht="13.5" thickBot="1" x14ac:dyDescent="0.25">
      <c r="A23" s="92" t="s">
        <v>86</v>
      </c>
      <c r="B23" s="93"/>
      <c r="C23" s="93"/>
      <c r="D23" s="93"/>
      <c r="E23" s="93"/>
      <c r="F23" s="93"/>
      <c r="G23" s="93"/>
      <c r="H23" s="93"/>
      <c r="I23" s="94"/>
    </row>
    <row r="24" spans="1:9" x14ac:dyDescent="0.2">
      <c r="A24" s="80" t="s">
        <v>87</v>
      </c>
      <c r="B24" s="81"/>
      <c r="C24" s="81"/>
      <c r="D24" s="81"/>
      <c r="E24" s="81"/>
      <c r="F24" s="81"/>
      <c r="G24" s="81"/>
      <c r="H24" s="81"/>
      <c r="I24" s="73" t="s">
        <v>89</v>
      </c>
    </row>
    <row r="25" spans="1:9" x14ac:dyDescent="0.2">
      <c r="A25" s="80" t="s">
        <v>93</v>
      </c>
      <c r="B25" s="81"/>
      <c r="C25" s="81"/>
      <c r="D25" s="81"/>
      <c r="E25" s="81"/>
      <c r="F25" s="81"/>
      <c r="G25" s="81"/>
      <c r="H25" s="81"/>
      <c r="I25" s="74">
        <v>6500</v>
      </c>
    </row>
    <row r="26" spans="1:9" x14ac:dyDescent="0.2">
      <c r="A26" s="80" t="s">
        <v>94</v>
      </c>
      <c r="B26" s="81"/>
      <c r="C26" s="81"/>
      <c r="D26" s="81"/>
      <c r="E26" s="81"/>
      <c r="F26" s="81"/>
      <c r="G26" s="81"/>
      <c r="H26" s="81"/>
      <c r="I26" s="74">
        <v>4000</v>
      </c>
    </row>
    <row r="27" spans="1:9" x14ac:dyDescent="0.2">
      <c r="A27" s="80" t="s">
        <v>100</v>
      </c>
      <c r="B27" s="81"/>
      <c r="C27" s="81"/>
      <c r="D27" s="81"/>
      <c r="E27" s="81"/>
      <c r="F27" s="81"/>
      <c r="G27" s="81"/>
      <c r="H27" s="81"/>
      <c r="I27" s="73" t="s">
        <v>88</v>
      </c>
    </row>
    <row r="28" spans="1:9" ht="13.5" thickBot="1" x14ac:dyDescent="0.25">
      <c r="A28" s="90" t="s">
        <v>99</v>
      </c>
      <c r="B28" s="91"/>
      <c r="C28" s="91"/>
      <c r="D28" s="91"/>
      <c r="E28" s="91"/>
      <c r="F28" s="91"/>
      <c r="G28" s="91"/>
      <c r="H28" s="91"/>
      <c r="I28" s="75">
        <v>500</v>
      </c>
    </row>
    <row r="29" spans="1:9" ht="13.5" thickBot="1" x14ac:dyDescent="0.25"/>
    <row r="30" spans="1:9" ht="13.5" thickBot="1" x14ac:dyDescent="0.25">
      <c r="A30" s="92" t="s">
        <v>42</v>
      </c>
      <c r="B30" s="93"/>
      <c r="C30" s="93"/>
      <c r="D30" s="93"/>
      <c r="E30" s="93"/>
      <c r="F30" s="93"/>
      <c r="G30" s="93"/>
      <c r="H30" s="93"/>
      <c r="I30" s="94"/>
    </row>
    <row r="31" spans="1:9" ht="13.5" thickBot="1" x14ac:dyDescent="0.25">
      <c r="A31" s="90" t="s">
        <v>95</v>
      </c>
      <c r="B31" s="91"/>
      <c r="C31" s="91"/>
      <c r="D31" s="91"/>
      <c r="E31" s="91"/>
      <c r="F31" s="91"/>
      <c r="G31" s="91"/>
      <c r="H31" s="91"/>
      <c r="I31" s="71">
        <v>500</v>
      </c>
    </row>
  </sheetData>
  <sheetProtection selectLockedCells="1" selectUnlockedCells="1"/>
  <mergeCells count="27">
    <mergeCell ref="A28:H28"/>
    <mergeCell ref="A23:I23"/>
    <mergeCell ref="A27:H27"/>
    <mergeCell ref="A30:I30"/>
    <mergeCell ref="A31:H31"/>
    <mergeCell ref="A26:H26"/>
    <mergeCell ref="A1:G2"/>
    <mergeCell ref="A3:A4"/>
    <mergeCell ref="D3:F4"/>
    <mergeCell ref="A13:I13"/>
    <mergeCell ref="A14:H14"/>
    <mergeCell ref="A22:H22"/>
    <mergeCell ref="A24:H24"/>
    <mergeCell ref="A25:H25"/>
    <mergeCell ref="A5:I6"/>
    <mergeCell ref="A8:I8"/>
    <mergeCell ref="A12:I12"/>
    <mergeCell ref="A9:I9"/>
    <mergeCell ref="A10:I10"/>
    <mergeCell ref="A11:I11"/>
    <mergeCell ref="A18:H18"/>
    <mergeCell ref="A19:H19"/>
    <mergeCell ref="A21:H21"/>
    <mergeCell ref="A20:I20"/>
    <mergeCell ref="A15:H15"/>
    <mergeCell ref="A16:H16"/>
    <mergeCell ref="A17:H17"/>
  </mergeCells>
  <dataValidations count="1">
    <dataValidation type="list" allowBlank="1" showInputMessage="1" showErrorMessage="1" sqref="I24 I27">
      <formula1>$S$2:$S$4</formula1>
    </dataValidation>
  </dataValidations>
  <hyperlinks>
    <hyperlink ref="D3"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P8" sqref="P8"/>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April Monthly Budget")</f>
        <v>-  April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500</v>
      </c>
      <c r="F4" s="5"/>
      <c r="G4" s="102" t="s">
        <v>34</v>
      </c>
      <c r="H4" s="102"/>
      <c r="I4" s="102"/>
      <c r="J4" s="102"/>
      <c r="K4" s="102"/>
      <c r="L4" s="117">
        <f>E6-E62</f>
        <v>-1602.5</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500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1602.5</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Table114385062748698291623374451[Projected Cost]-Table114385062748698291623374451[Actual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Table114385062748698291623374451[Projected Cost]-Table114385062748698291623374451[Actual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Table114385062748698291623374451[Projected Cost]-Table114385062748698291623374451[Actual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Table114385062748698291623374451[Projected Cost]-Table114385062748698291623374451[Actual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Table114385062748698291623374451[Projected Cost]-Table114385062748698291623374451[Actual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SUBTOTAL(109,Table114385062748698291623374451[Projected Cost])</f>
        <v>100</v>
      </c>
      <c r="D17" s="19">
        <f>SUBTOTAL(109,Table114385062748698291623374451[Actual Cost])</f>
        <v>0</v>
      </c>
      <c r="E17" s="21">
        <f>SUBTOTAL(109,Table114385062748698291623374451[Difference])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812.5</v>
      </c>
      <c r="D20" s="19">
        <f>L29</f>
        <v>0</v>
      </c>
      <c r="E20" s="20">
        <f>Table11438506274869831017313845[Projected Cost]-Table11438506274869831017313845[Actual Cost]</f>
        <v>812.5</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Table11438506274869831017313845[Projected Cost]-Table11438506274869831017313845[Actual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Table11438506274869831017313845[Projected Cost]-Table11438506274869831017313845[Actual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Table11438506274869831017313845[Projected Cost]-Table11438506274869831017313845[Actual Cost]</f>
        <v>20</v>
      </c>
      <c r="F23" s="67"/>
      <c r="H23" s="36" t="s">
        <v>33</v>
      </c>
      <c r="I23" s="30">
        <f>SUM(I13:I22)</f>
        <v>0</v>
      </c>
      <c r="J23" s="42"/>
      <c r="U23" s="23"/>
    </row>
    <row r="24" spans="1:24" ht="15.75" customHeight="1" thickBot="1" x14ac:dyDescent="0.25">
      <c r="A24" s="2"/>
      <c r="B24" s="22" t="s">
        <v>6</v>
      </c>
      <c r="C24" s="19">
        <v>50</v>
      </c>
      <c r="D24" s="19">
        <f>X29</f>
        <v>0</v>
      </c>
      <c r="E24" s="20">
        <f>Table11438506274869831017313845[Projected Cost]-Table11438506274869831017313845[Actual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SUBTOTAL(109,Table11438506274869831017313845[Projected Cost])</f>
        <v>972.5</v>
      </c>
      <c r="D25" s="19">
        <f>SUBTOTAL(109,Table11438506274869831017313845[Actual Cost])</f>
        <v>0</v>
      </c>
      <c r="E25" s="21">
        <f>SUBTOTAL(109,Table11438506274869831017313845[Difference])</f>
        <v>972.5</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Table321455769819310561320344148[Projected Cost]-Table321455769819310561320344148[Actual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Table321455769819310561320344148[Projected Cost]-Table321455769819310561320344148[Actual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Table321455769819310561320344148[Projected Cost]-Table321455769819310561320344148[Actual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Table321455769819310561320344148[Projected Cost]-Table321455769819310561320344148[Actual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Table321455769819310561320344148[Projected Cost]-Table321455769819310561320344148[Actual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SUBTOTAL(109,Table321455769819310561320344148[Projected Cost])</f>
        <v>50</v>
      </c>
      <c r="D33" s="19">
        <f>SUBTOTAL(109,Table321455769819310561320344148[Actual Cost])</f>
        <v>0</v>
      </c>
      <c r="E33" s="21">
        <f>SUBTOTAL(109,Table321455769819310561320344148[Difference])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Table41539516375879941118323946[Projected Cost]-Table41539516375879941118323946[Actual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SUBTOTAL(109,Table41539516375879941118323946[Projected Cost])</f>
        <v>15</v>
      </c>
      <c r="D37" s="19">
        <f>SUBTOTAL(109,Table41539516375879941118323946[Actual Cost])</f>
        <v>0</v>
      </c>
      <c r="E37" s="21">
        <f>SUBTOTAL(109,Table41539516375879941118323946[Difference])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500</v>
      </c>
      <c r="D40" s="19">
        <f>O53</f>
        <v>0</v>
      </c>
      <c r="E40" s="20">
        <f>Table519435567799110351219334047[Projected Cost]-Table519435567799110351219334047[Actual Cost]</f>
        <v>500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Table519435567799110351219334047[Projected Cost]-Table519435567799110351219334047[Actual Cost]</f>
        <v>100</v>
      </c>
      <c r="F41" s="67"/>
    </row>
    <row r="42" spans="1:24" ht="15.75" customHeight="1" thickBot="1" x14ac:dyDescent="0.25">
      <c r="A42" s="2"/>
      <c r="B42" s="22" t="s">
        <v>6</v>
      </c>
      <c r="C42" s="19">
        <v>0</v>
      </c>
      <c r="D42" s="19">
        <f>U49</f>
        <v>0</v>
      </c>
      <c r="E42" s="20">
        <f>Table519435567799110351219334047[Projected Cost]-Table519435567799110351219334047[Actual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SUBTOTAL(109,Table519435567799110351219334047[Projected Cost])</f>
        <v>600</v>
      </c>
      <c r="D43" s="19">
        <f>SUBTOTAL(109,Table519435567799110351219334047[Actual Cost])</f>
        <v>0</v>
      </c>
      <c r="E43" s="21">
        <f>SUBTOTAL(109,Table519435567799110351219334047[Difference])</f>
        <v>600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Table724486072849610871421354249[Projected Cost]-Table724486072849610871421354249[Actual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Table724486072849610871421354249[Projected Cost]-Table724486072849610871421354249[Actual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Table724486072849610871421354249[Projected Cost]-Table724486072849610871421354249[Actual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Table724486072849610871421354249[Projected Cost]-Table724486072849610871421354249[Actual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Table724486072849610871421354249[Projected Cost]-Table724486072849610871421354249[Actual Cost]</f>
        <v>20</v>
      </c>
      <c r="F50" s="67"/>
      <c r="N50" s="47"/>
      <c r="O50" s="48"/>
      <c r="P50" s="44"/>
      <c r="Q50" s="47"/>
      <c r="R50" s="48"/>
      <c r="S50" s="58"/>
      <c r="T50" s="58"/>
      <c r="U50" s="64"/>
    </row>
    <row r="51" spans="1:24" ht="15.75" customHeight="1" x14ac:dyDescent="0.2">
      <c r="A51" s="2"/>
      <c r="B51" s="16" t="s">
        <v>33</v>
      </c>
      <c r="C51" s="19">
        <f>SUBTOTAL(109,Table724486072849610871421354249[Projected Cost])</f>
        <v>180</v>
      </c>
      <c r="D51" s="19">
        <f>SUBTOTAL(109,Table724486072849610871421354249[Actual Cost])</f>
        <v>0</v>
      </c>
      <c r="E51" s="21">
        <f>SUBTOTAL(109,Table724486072849610871421354249[Difference])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Table225496173859710981522364350[Projected Cost]-Table225496173859710981522364350[Actual Cost]</f>
        <v>50</v>
      </c>
      <c r="F54" s="67"/>
    </row>
    <row r="55" spans="1:24" ht="15.75" customHeight="1" thickBot="1" x14ac:dyDescent="0.25">
      <c r="A55" s="2"/>
      <c r="B55" s="22" t="s">
        <v>16</v>
      </c>
      <c r="C55" s="19">
        <v>15</v>
      </c>
      <c r="D55" s="19">
        <f>O71</f>
        <v>0</v>
      </c>
      <c r="E55" s="20">
        <f>Table225496173859710981522364350[Projected Cost]-Table225496173859710981522364350[Actual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Table225496173859710981522364350[Projected Cost]-Table225496173859710981522364350[Actual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Table225496173859710981522364350[Projected Cost]-Table225496173859710981522364350[Actual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Table225496173859710981522364350[Projected Cost]-Table225496173859710981522364350[Actual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37" t="s">
        <v>33</v>
      </c>
      <c r="C59" s="38">
        <f>SUBTOTAL(109,Table225496173859710981522364350[Projected Cost])</f>
        <v>185</v>
      </c>
      <c r="D59" s="39">
        <f>SUBTOTAL(109,Table225496173859710981522364350[Actual Cost])</f>
        <v>0</v>
      </c>
      <c r="E59" s="40">
        <f>SUBTOTAL(109,Table225496173859710981522364350[Difference])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2102.5</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2102.5</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67"/>
  <sheetViews>
    <sheetView showGridLines="0" workbookViewId="0">
      <pane ySplit="2" topLeftCell="A3" activePane="bottomLeft" state="frozen"/>
      <selection pane="bottomLeft" activeCell="Q9" sqref="Q9"/>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School Year Summary Budget")</f>
        <v>-  School Year Summary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Sep!E4+Oct!E4+Nov!E4+Dec!E4+Jan!E4+Feb!E4+Mar!E4+Apr!E4</f>
        <v>4000</v>
      </c>
      <c r="F4" s="5"/>
      <c r="G4" s="107" t="s">
        <v>34</v>
      </c>
      <c r="H4" s="108"/>
      <c r="I4" s="108"/>
      <c r="J4" s="108"/>
      <c r="K4" s="109"/>
      <c r="L4" s="103">
        <f>E6-E62</f>
        <v>-21620</v>
      </c>
      <c r="Y4" s="23"/>
      <c r="Z4" s="23"/>
      <c r="AA4" s="23"/>
      <c r="AB4" s="23"/>
      <c r="AC4" s="23"/>
      <c r="AD4" s="23"/>
      <c r="AE4" s="23"/>
      <c r="AF4" s="23"/>
    </row>
    <row r="5" spans="1:32" ht="16.149999999999999" customHeight="1" x14ac:dyDescent="0.2">
      <c r="A5" s="2"/>
      <c r="B5" s="115"/>
      <c r="C5" s="105" t="s">
        <v>18</v>
      </c>
      <c r="D5" s="106"/>
      <c r="E5" s="15">
        <f>Sep!E5+Oct!E5+Nov!E5+Dec!E5+Jan!E5+Feb!E5+Mar!E5+Apr!E5</f>
        <v>0</v>
      </c>
      <c r="F5" s="5"/>
      <c r="G5" s="110"/>
      <c r="H5" s="111"/>
      <c r="I5" s="111"/>
      <c r="J5" s="111"/>
      <c r="K5" s="112"/>
      <c r="L5" s="104"/>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Sep!E6+Oct!E6+Nov!E6+Dec!E6+Jan!E6+Feb!E6+Mar!E6+Apr!E6</f>
        <v>4000</v>
      </c>
      <c r="F6" s="5"/>
      <c r="G6" s="102" t="s">
        <v>35</v>
      </c>
      <c r="H6" s="102"/>
      <c r="I6" s="102"/>
      <c r="J6" s="102"/>
      <c r="K6" s="102"/>
      <c r="L6" s="103">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Sep!E7+Oct!E7+Nov!E7+Dec!E7+Jan!E7+Feb!E7+Mar!E7+Apr!E7</f>
        <v>0</v>
      </c>
      <c r="F7" s="5"/>
      <c r="G7" s="102"/>
      <c r="H7" s="102"/>
      <c r="I7" s="102"/>
      <c r="J7" s="102"/>
      <c r="K7" s="102"/>
      <c r="L7" s="104"/>
      <c r="P7" s="34"/>
      <c r="Q7" s="44"/>
      <c r="R7" s="44"/>
      <c r="S7" s="44"/>
      <c r="T7" s="44"/>
      <c r="U7" s="44"/>
      <c r="V7" s="44"/>
      <c r="W7" s="44"/>
      <c r="X7" s="44"/>
      <c r="Y7" s="44"/>
    </row>
    <row r="8" spans="1:32" ht="16.149999999999999" customHeight="1" x14ac:dyDescent="0.2">
      <c r="A8" s="2"/>
      <c r="B8" s="115"/>
      <c r="C8" s="105" t="s">
        <v>18</v>
      </c>
      <c r="D8" s="106"/>
      <c r="E8" s="15">
        <f>Sep!E8+Oct!E8+Nov!E8+Dec!E8+Jan!E8+Feb!E8+Mar!E8+Apr!E8</f>
        <v>0</v>
      </c>
      <c r="F8" s="5"/>
      <c r="G8" s="102" t="s">
        <v>36</v>
      </c>
      <c r="H8" s="102"/>
      <c r="I8" s="102"/>
      <c r="J8" s="102"/>
      <c r="K8" s="102"/>
      <c r="L8" s="117">
        <f>L6-L4</f>
        <v>21620</v>
      </c>
      <c r="Q8" s="44"/>
      <c r="R8" s="44"/>
      <c r="S8" s="44"/>
      <c r="T8" s="44"/>
      <c r="U8" s="44"/>
      <c r="V8" s="44"/>
      <c r="W8" s="44"/>
      <c r="X8" s="44"/>
      <c r="Y8" s="44"/>
    </row>
    <row r="9" spans="1:32" ht="16.149999999999999" customHeight="1" x14ac:dyDescent="0.2">
      <c r="A9" s="2"/>
      <c r="B9" s="116"/>
      <c r="C9" s="100" t="s">
        <v>19</v>
      </c>
      <c r="D9" s="101"/>
      <c r="E9" s="66">
        <f>Sep!E9+Oct!E9+Nov!E9+Dec!E9+Jan!E9+Feb!E9+Mar!E9+Apr!E9</f>
        <v>0</v>
      </c>
      <c r="F9" s="5"/>
      <c r="G9" s="102"/>
      <c r="H9" s="102"/>
      <c r="I9" s="102"/>
      <c r="J9" s="102"/>
      <c r="K9" s="102"/>
      <c r="L9" s="117"/>
      <c r="Q9" s="60"/>
      <c r="R9" s="61"/>
      <c r="S9" s="44"/>
      <c r="T9" s="60"/>
      <c r="U9" s="61"/>
      <c r="V9" s="44"/>
      <c r="W9" s="60"/>
      <c r="X9" s="61"/>
      <c r="Y9" s="44"/>
    </row>
    <row r="10" spans="1:32" ht="16.149999999999999" customHeight="1" x14ac:dyDescent="0.2">
      <c r="A10" s="2"/>
      <c r="B10" s="68"/>
      <c r="C10" s="68"/>
      <c r="D10" s="9"/>
      <c r="E10" s="10"/>
      <c r="F10" s="5"/>
      <c r="G10" s="11"/>
      <c r="H10" s="11"/>
      <c r="I10" s="11"/>
      <c r="J10" s="11"/>
      <c r="K10" s="11"/>
      <c r="L10" s="12"/>
      <c r="R10" s="23"/>
    </row>
    <row r="11" spans="1:32" ht="16.149999999999999" customHeight="1" x14ac:dyDescent="0.2">
      <c r="A11" s="2"/>
      <c r="B11" s="16" t="s">
        <v>80</v>
      </c>
      <c r="C11" s="17" t="s">
        <v>0</v>
      </c>
      <c r="D11" s="17" t="s">
        <v>1</v>
      </c>
      <c r="E11" s="18" t="s">
        <v>2</v>
      </c>
      <c r="F11" s="5"/>
      <c r="G11" s="11"/>
    </row>
    <row r="12" spans="1:32" ht="16.149999999999999" customHeight="1" x14ac:dyDescent="0.2">
      <c r="A12" s="2"/>
      <c r="B12" s="22" t="s">
        <v>50</v>
      </c>
      <c r="C12" s="19">
        <f>'Starting Page'!I21</f>
        <v>7000</v>
      </c>
      <c r="D12"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2" s="20">
        <f>Table114385062748698265[Projected Cost]-Table114385062748698265[Actual Cost]</f>
        <v>7000</v>
      </c>
      <c r="F12" s="5"/>
      <c r="H12" s="121" t="s">
        <v>0</v>
      </c>
      <c r="I12" s="121"/>
      <c r="J12" s="121"/>
      <c r="K12" s="121"/>
      <c r="L12" s="121"/>
      <c r="M12" s="135">
        <f>E62</f>
        <v>25620</v>
      </c>
      <c r="N12" s="135"/>
      <c r="O12" s="135"/>
      <c r="P12" s="135"/>
      <c r="Q12" s="135"/>
    </row>
    <row r="13" spans="1:32" ht="16.149999999999999" customHeight="1" x14ac:dyDescent="0.2">
      <c r="A13" s="2"/>
      <c r="B13" s="22" t="s">
        <v>51</v>
      </c>
      <c r="C13" s="19">
        <f>Table1143850627486982[[#This Row],[Projected Cost]]+Table11438506274869829[[#This Row],[Projected Cost]]+Table1143850627486982916[[#This Row],[Projected Cost]]+Table114385062748698291623[[#This Row],[Projected Cost]]+Table114385062748698230[[#This Row],[Projected Cost]]+Table11438506274869829162337[[#This Row],[Projected Cost]]+Table1143850627486982916233744[[#This Row],[Projected Cost]]+Table114385062748698291623374451[[#This Row],[Projected Cost]]</f>
        <v>200</v>
      </c>
      <c r="D13"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3" s="20">
        <f>Table114385062748698265[Projected Cost]-Table114385062748698265[Actual Cost]</f>
        <v>200</v>
      </c>
      <c r="F13" s="5"/>
      <c r="H13" s="121"/>
      <c r="I13" s="121"/>
      <c r="J13" s="121"/>
      <c r="K13" s="121"/>
      <c r="L13" s="121"/>
      <c r="M13" s="135"/>
      <c r="N13" s="135"/>
      <c r="O13" s="135"/>
      <c r="P13" s="135"/>
      <c r="Q13" s="135"/>
    </row>
    <row r="14" spans="1:32" ht="16.149999999999999" customHeight="1" x14ac:dyDescent="0.2">
      <c r="A14" s="2"/>
      <c r="B14" s="22" t="s">
        <v>52</v>
      </c>
      <c r="C14" s="19">
        <f>Table1143850627486982[[#This Row],[Projected Cost]]+Table11438506274869829[[#This Row],[Projected Cost]]+Table1143850627486982916[[#This Row],[Projected Cost]]+Table114385062748698291623[[#This Row],[Projected Cost]]+Table114385062748698230[[#This Row],[Projected Cost]]+Table11438506274869829162337[[#This Row],[Projected Cost]]+Table1143850627486982916233744[[#This Row],[Projected Cost]]+Table114385062748698291623374451[[#This Row],[Projected Cost]]</f>
        <v>1500</v>
      </c>
      <c r="D14"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4" s="20">
        <f>Table114385062748698265[Projected Cost]-Table114385062748698265[Actual Cost]</f>
        <v>1500</v>
      </c>
      <c r="F14" s="5"/>
      <c r="H14" s="121"/>
      <c r="I14" s="121"/>
      <c r="J14" s="121"/>
      <c r="K14" s="121"/>
      <c r="L14" s="121"/>
      <c r="M14" s="135"/>
      <c r="N14" s="135"/>
      <c r="O14" s="135"/>
      <c r="P14" s="135"/>
      <c r="Q14" s="135"/>
    </row>
    <row r="15" spans="1:32" ht="16.149999999999999" customHeight="1" x14ac:dyDescent="0.2">
      <c r="A15" s="2"/>
      <c r="B15" s="22" t="s">
        <v>5</v>
      </c>
      <c r="C15" s="19">
        <f>Table1143850627486982[[#This Row],[Projected Cost]]+Table11438506274869829[[#This Row],[Projected Cost]]+Table1143850627486982916[[#This Row],[Projected Cost]]+Table114385062748698291623[[#This Row],[Projected Cost]]+Table114385062748698230[[#This Row],[Projected Cost]]+Table11438506274869829162337[[#This Row],[Projected Cost]]+Table1143850627486982916233744[[#This Row],[Projected Cost]]+Table114385062748698291623374451[[#This Row],[Projected Cost]]</f>
        <v>500</v>
      </c>
      <c r="D15"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5" s="20">
        <f>Table114385062748698265[Projected Cost]-Table114385062748698265[Actual Cost]</f>
        <v>500</v>
      </c>
      <c r="F15" s="5"/>
      <c r="H15" s="121"/>
      <c r="I15" s="121"/>
      <c r="J15" s="121"/>
      <c r="K15" s="121"/>
      <c r="L15" s="121"/>
      <c r="M15" s="135"/>
      <c r="N15" s="135"/>
      <c r="O15" s="135"/>
      <c r="P15" s="135"/>
      <c r="Q15" s="135"/>
    </row>
    <row r="16" spans="1:32" ht="16.149999999999999" customHeight="1" x14ac:dyDescent="0.2">
      <c r="A16" s="2"/>
      <c r="B16" s="22" t="s">
        <v>6</v>
      </c>
      <c r="C16" s="19">
        <f>Table1143850627486982[[#This Row],[Projected Cost]]+Table11438506274869829[[#This Row],[Projected Cost]]+Table1143850627486982916[[#This Row],[Projected Cost]]+Table114385062748698291623[[#This Row],[Projected Cost]]+Table114385062748698230[[#This Row],[Projected Cost]]+Table11438506274869829162337[[#This Row],[Projected Cost]]+Table1143850627486982916233744[[#This Row],[Projected Cost]]+Table114385062748698291623374451[[#This Row],[Projected Cost]]</f>
        <v>400</v>
      </c>
      <c r="D16" s="19">
        <f>Table1143850627486982[[#This Row],[Actual Cost]]+Table11438506274869829[[#This Row],[Actual Cost]]+Table1143850627486982916[[#This Row],[Actual Cost]]+Table114385062748698291623[[#This Row],[Actual Cost]]+Table114385062748698230[[#This Row],[Actual Cost]]+Table11438506274869829162337[[#This Row],[Actual Cost]]+Table1143850627486982916233744[[#This Row],[Actual Cost]]+Table114385062748698291623374451[[#This Row],[Actual Cost]]</f>
        <v>0</v>
      </c>
      <c r="E16" s="20">
        <f>Table114385062748698265[Projected Cost]-Table114385062748698265[Actual Cost]</f>
        <v>400</v>
      </c>
      <c r="F16" s="5"/>
      <c r="H16" s="118" t="s">
        <v>96</v>
      </c>
      <c r="I16" s="119"/>
      <c r="J16" s="119"/>
      <c r="K16" s="119"/>
      <c r="L16" s="119"/>
      <c r="M16" s="133">
        <f>E6+'Starting Page'!I18</f>
        <v>7000</v>
      </c>
      <c r="N16" s="133"/>
      <c r="O16" s="133"/>
      <c r="P16" s="133"/>
      <c r="Q16" s="134"/>
    </row>
    <row r="17" spans="1:17" ht="16.149999999999999" customHeight="1" x14ac:dyDescent="0.2">
      <c r="A17" s="2"/>
      <c r="B17" s="37" t="s">
        <v>33</v>
      </c>
      <c r="C17" s="39">
        <f>SUBTOTAL(109,Table114385062748698265[Projected Cost])</f>
        <v>9600</v>
      </c>
      <c r="D17" s="39">
        <f>SUBTOTAL(109,Table114385062748698265[Actual Cost])</f>
        <v>0</v>
      </c>
      <c r="E17" s="40">
        <f>SUBTOTAL(109,Table114385062748698265[Difference])</f>
        <v>9600</v>
      </c>
      <c r="F17" s="5"/>
      <c r="H17" s="120"/>
      <c r="I17" s="121"/>
      <c r="J17" s="121"/>
      <c r="K17" s="121"/>
      <c r="L17" s="121"/>
      <c r="M17" s="135"/>
      <c r="N17" s="135"/>
      <c r="O17" s="135"/>
      <c r="P17" s="135"/>
      <c r="Q17" s="136"/>
    </row>
    <row r="18" spans="1:17" ht="16.149999999999999" customHeight="1" x14ac:dyDescent="0.2">
      <c r="A18" s="2"/>
      <c r="B18" s="16"/>
      <c r="C18" s="19"/>
      <c r="D18" s="19"/>
      <c r="E18" s="21"/>
      <c r="F18" s="5"/>
      <c r="H18" s="120"/>
      <c r="I18" s="121"/>
      <c r="J18" s="121"/>
      <c r="K18" s="121"/>
      <c r="L18" s="121"/>
      <c r="M18" s="135"/>
      <c r="N18" s="135"/>
      <c r="O18" s="135"/>
      <c r="P18" s="135"/>
      <c r="Q18" s="136"/>
    </row>
    <row r="19" spans="1:17" ht="16.149999999999999" customHeight="1" x14ac:dyDescent="0.2">
      <c r="A19" s="2"/>
      <c r="B19" s="16" t="s">
        <v>22</v>
      </c>
      <c r="C19" s="17" t="s">
        <v>0</v>
      </c>
      <c r="D19" s="17" t="s">
        <v>1</v>
      </c>
      <c r="E19" s="18" t="s">
        <v>2</v>
      </c>
      <c r="F19" s="14"/>
      <c r="H19" s="122"/>
      <c r="I19" s="123"/>
      <c r="J19" s="123"/>
      <c r="K19" s="123"/>
      <c r="L19" s="123"/>
      <c r="M19" s="137"/>
      <c r="N19" s="137"/>
      <c r="O19" s="137"/>
      <c r="P19" s="137"/>
      <c r="Q19" s="138"/>
    </row>
    <row r="20" spans="1:17" ht="15.75" customHeight="1" x14ac:dyDescent="0.2">
      <c r="A20" s="2"/>
      <c r="B20" s="22" t="s">
        <v>48</v>
      </c>
      <c r="C20"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6500</v>
      </c>
      <c r="D20"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0" s="20">
        <f>Table11438506274869859[Projected Cost]-Table11438506274869859[Actual Cost]</f>
        <v>6500</v>
      </c>
      <c r="F20" s="67"/>
      <c r="H20" s="118" t="s">
        <v>107</v>
      </c>
      <c r="I20" s="119"/>
      <c r="J20" s="119"/>
      <c r="K20" s="119"/>
      <c r="L20" s="119"/>
      <c r="M20" s="124">
        <f>M16-M12</f>
        <v>-18620</v>
      </c>
      <c r="N20" s="125"/>
      <c r="O20" s="125"/>
      <c r="P20" s="125"/>
      <c r="Q20" s="126"/>
    </row>
    <row r="21" spans="1:17" ht="15.75" customHeight="1" x14ac:dyDescent="0.2">
      <c r="A21" s="2"/>
      <c r="B21" s="22" t="s">
        <v>4</v>
      </c>
      <c r="C21"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560</v>
      </c>
      <c r="D21"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1" s="20">
        <f>Table11438506274869859[Projected Cost]-Table11438506274869859[Actual Cost]</f>
        <v>560</v>
      </c>
      <c r="F21" s="67"/>
      <c r="H21" s="120"/>
      <c r="I21" s="121"/>
      <c r="J21" s="121"/>
      <c r="K21" s="121"/>
      <c r="L21" s="121"/>
      <c r="M21" s="127"/>
      <c r="N21" s="128"/>
      <c r="O21" s="128"/>
      <c r="P21" s="128"/>
      <c r="Q21" s="129"/>
    </row>
    <row r="22" spans="1:17" ht="15.75" customHeight="1" x14ac:dyDescent="0.2">
      <c r="A22" s="2"/>
      <c r="B22" s="22" t="s">
        <v>47</v>
      </c>
      <c r="C22"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160</v>
      </c>
      <c r="D22"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2" s="20">
        <f>Table11438506274869859[Projected Cost]-Table11438506274869859[Actual Cost]</f>
        <v>160</v>
      </c>
      <c r="F22" s="67"/>
      <c r="H22" s="120"/>
      <c r="I22" s="121"/>
      <c r="J22" s="121"/>
      <c r="K22" s="121"/>
      <c r="L22" s="121"/>
      <c r="M22" s="127"/>
      <c r="N22" s="128"/>
      <c r="O22" s="128"/>
      <c r="P22" s="128"/>
      <c r="Q22" s="129"/>
    </row>
    <row r="23" spans="1:17" ht="15.75" customHeight="1" x14ac:dyDescent="0.2">
      <c r="A23" s="2"/>
      <c r="B23" s="22" t="s">
        <v>37</v>
      </c>
      <c r="C23"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160</v>
      </c>
      <c r="D23"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3" s="20">
        <f>Table11438506274869859[Projected Cost]-Table11438506274869859[Actual Cost]</f>
        <v>160</v>
      </c>
      <c r="F23" s="67"/>
      <c r="H23" s="122"/>
      <c r="I23" s="123"/>
      <c r="J23" s="123"/>
      <c r="K23" s="123"/>
      <c r="L23" s="123"/>
      <c r="M23" s="130"/>
      <c r="N23" s="131"/>
      <c r="O23" s="131"/>
      <c r="P23" s="131"/>
      <c r="Q23" s="132"/>
    </row>
    <row r="24" spans="1:17" ht="15.75" customHeight="1" x14ac:dyDescent="0.2">
      <c r="A24" s="2"/>
      <c r="B24" s="22" t="s">
        <v>6</v>
      </c>
      <c r="C24" s="19">
        <f>Table114385062748698[[#This Row],[Projected Cost]]+Table1143850627486983[[#This Row],[Projected Cost]]+Table114385062748698310[[#This Row],[Projected Cost]]+Table11438506274869831017[[#This Row],[Projected Cost]]+Table11438506274869824[[#This Row],[Projected Cost]]+Table1143850627486983101731[[#This Row],[Projected Cost]]+Table114385062748698310173138[[#This Row],[Projected Cost]]+Table11438506274869831017313845[[#This Row],[Projected Cost]]</f>
        <v>400</v>
      </c>
      <c r="D24" s="19">
        <f>Table114385062748698[[#This Row],[Actual Cost]]+Table1143850627486983[[#This Row],[Actual Cost]]+Table114385062748698310[[#This Row],[Actual Cost]]+Table11438506274869831017[[#This Row],[Actual Cost]]+Table11438506274869824[[#This Row],[Actual Cost]]+Table1143850627486983101731[[#This Row],[Actual Cost]]+Table114385062748698310173138[[#This Row],[Actual Cost]]+Table11438506274869831017313845[[#This Row],[Actual Cost]]</f>
        <v>0</v>
      </c>
      <c r="E24" s="20">
        <f>Table11438506274869859[Projected Cost]-Table11438506274869859[Actual Cost]</f>
        <v>400</v>
      </c>
      <c r="F24" s="67"/>
    </row>
    <row r="25" spans="1:17" ht="15.75" customHeight="1" x14ac:dyDescent="0.2">
      <c r="A25" s="2"/>
      <c r="B25" s="16" t="s">
        <v>33</v>
      </c>
      <c r="C25" s="19">
        <f>SUBTOTAL(109,Table11438506274869859[Projected Cost])</f>
        <v>7780</v>
      </c>
      <c r="D25" s="19">
        <f>SUBTOTAL(109,Table11438506274869859[Actual Cost])</f>
        <v>0</v>
      </c>
      <c r="E25" s="21">
        <f>SUBTOTAL(109,Table11438506274869859[Difference])</f>
        <v>7780</v>
      </c>
      <c r="F25" s="67"/>
    </row>
    <row r="26" spans="1:17" ht="15.75" customHeight="1" x14ac:dyDescent="0.2">
      <c r="A26" s="2"/>
      <c r="B26" s="113"/>
      <c r="C26" s="113"/>
      <c r="D26" s="113"/>
      <c r="E26" s="113"/>
      <c r="F26" s="67"/>
    </row>
    <row r="27" spans="1:17" ht="15.75" customHeight="1" x14ac:dyDescent="0.2">
      <c r="A27" s="2"/>
      <c r="B27" s="16" t="s">
        <v>24</v>
      </c>
      <c r="C27" s="17" t="s">
        <v>0</v>
      </c>
      <c r="D27" s="17" t="s">
        <v>1</v>
      </c>
      <c r="E27" s="18" t="s">
        <v>2</v>
      </c>
      <c r="F27" s="67"/>
      <c r="H27" s="121" t="s">
        <v>1</v>
      </c>
      <c r="I27" s="121"/>
      <c r="J27" s="121"/>
      <c r="K27" s="121"/>
      <c r="L27" s="121"/>
      <c r="M27" s="135">
        <f>E64</f>
        <v>0</v>
      </c>
      <c r="N27" s="135"/>
      <c r="O27" s="135"/>
      <c r="P27" s="135"/>
      <c r="Q27" s="135"/>
    </row>
    <row r="28" spans="1:17" ht="15.75" customHeight="1" x14ac:dyDescent="0.2">
      <c r="A28" s="2"/>
      <c r="B28" s="22" t="s">
        <v>20</v>
      </c>
      <c r="C28"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0</v>
      </c>
      <c r="D28"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28" s="20">
        <f>Table321455769819310562[Projected Cost]-Table321455769819310562[Actual Cost]</f>
        <v>0</v>
      </c>
      <c r="F28" s="67"/>
      <c r="H28" s="121"/>
      <c r="I28" s="121"/>
      <c r="J28" s="121"/>
      <c r="K28" s="121"/>
      <c r="L28" s="121"/>
      <c r="M28" s="135"/>
      <c r="N28" s="135"/>
      <c r="O28" s="135"/>
      <c r="P28" s="135"/>
      <c r="Q28" s="135"/>
    </row>
    <row r="29" spans="1:17" ht="15.75" customHeight="1" x14ac:dyDescent="0.2">
      <c r="A29" s="2"/>
      <c r="B29" s="22" t="s">
        <v>7</v>
      </c>
      <c r="C29"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0</v>
      </c>
      <c r="D29"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29" s="20">
        <f>Table321455769819310562[Projected Cost]-Table321455769819310562[Actual Cost]</f>
        <v>0</v>
      </c>
      <c r="F29" s="67"/>
      <c r="H29" s="121"/>
      <c r="I29" s="121"/>
      <c r="J29" s="121"/>
      <c r="K29" s="121"/>
      <c r="L29" s="121"/>
      <c r="M29" s="135"/>
      <c r="N29" s="135"/>
      <c r="O29" s="135"/>
      <c r="P29" s="135"/>
      <c r="Q29" s="135"/>
    </row>
    <row r="30" spans="1:17" ht="15.75" customHeight="1" x14ac:dyDescent="0.2">
      <c r="A30" s="2"/>
      <c r="B30" s="22" t="s">
        <v>8</v>
      </c>
      <c r="C30"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0</v>
      </c>
      <c r="D30"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30" s="20">
        <f>Table321455769819310562[Projected Cost]-Table321455769819310562[Actual Cost]</f>
        <v>0</v>
      </c>
      <c r="F30" s="67"/>
      <c r="H30" s="121"/>
      <c r="I30" s="121"/>
      <c r="J30" s="121"/>
      <c r="K30" s="121"/>
      <c r="L30" s="121"/>
      <c r="M30" s="135"/>
      <c r="N30" s="135"/>
      <c r="O30" s="135"/>
      <c r="P30" s="135"/>
      <c r="Q30" s="135"/>
    </row>
    <row r="31" spans="1:17" ht="15.75" customHeight="1" x14ac:dyDescent="0.2">
      <c r="A31" s="2"/>
      <c r="B31" s="22" t="s">
        <v>9</v>
      </c>
      <c r="C31"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0</v>
      </c>
      <c r="D31"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31" s="20">
        <f>Table321455769819310562[Projected Cost]-Table321455769819310562[Actual Cost]</f>
        <v>0</v>
      </c>
      <c r="F31" s="67"/>
      <c r="H31" s="118" t="s">
        <v>109</v>
      </c>
      <c r="I31" s="119"/>
      <c r="J31" s="119"/>
      <c r="K31" s="119"/>
      <c r="L31" s="119"/>
      <c r="M31" s="133">
        <f>E9+'Starting Page'!I18</f>
        <v>3000</v>
      </c>
      <c r="N31" s="133"/>
      <c r="O31" s="133"/>
      <c r="P31" s="133"/>
      <c r="Q31" s="134"/>
    </row>
    <row r="32" spans="1:17" ht="15.75" customHeight="1" x14ac:dyDescent="0.2">
      <c r="A32" s="2"/>
      <c r="B32" s="22" t="s">
        <v>62</v>
      </c>
      <c r="C32" s="19">
        <f>Table3214557698193105[[#This Row],[Projected Cost]]+Table32145576981931056[[#This Row],[Projected Cost]]+Table3214557698193105613[[#This Row],[Projected Cost]]+Table321455769819310561320[[#This Row],[Projected Cost]]+Table321455769819310527[[#This Row],[Projected Cost]]+Table32145576981931056132034[[#This Row],[Projected Cost]]+Table3214557698193105613203441[[#This Row],[Projected Cost]]+Table321455769819310561320344148[[#This Row],[Projected Cost]]</f>
        <v>400</v>
      </c>
      <c r="D32" s="19">
        <f>Table3214557698193105[[#This Row],[Actual Cost]]+Table32145576981931056[[#This Row],[Actual Cost]]+Table3214557698193105613[[#This Row],[Actual Cost]]+Table321455769819310561320[[#This Row],[Actual Cost]]+Table321455769819310527[[#This Row],[Actual Cost]]+Table32145576981931056132034[[#This Row],[Actual Cost]]+Table3214557698193105613203441[[#This Row],[Actual Cost]]+Table321455769819310561320344148[[#This Row],[Actual Cost]]</f>
        <v>0</v>
      </c>
      <c r="E32" s="20">
        <f>Table321455769819310562[Projected Cost]-Table321455769819310562[Actual Cost]</f>
        <v>400</v>
      </c>
      <c r="F32" s="67"/>
      <c r="H32" s="120"/>
      <c r="I32" s="121"/>
      <c r="J32" s="121"/>
      <c r="K32" s="121"/>
      <c r="L32" s="121"/>
      <c r="M32" s="135"/>
      <c r="N32" s="135"/>
      <c r="O32" s="135"/>
      <c r="P32" s="135"/>
      <c r="Q32" s="136"/>
    </row>
    <row r="33" spans="1:17" ht="15.75" customHeight="1" x14ac:dyDescent="0.2">
      <c r="A33" s="2"/>
      <c r="B33" s="37" t="s">
        <v>33</v>
      </c>
      <c r="C33" s="39">
        <f>SUBTOTAL(109,Table321455769819310562[Projected Cost])</f>
        <v>400</v>
      </c>
      <c r="D33" s="39">
        <f>SUBTOTAL(109,Table321455769819310562[Actual Cost])</f>
        <v>0</v>
      </c>
      <c r="E33" s="40">
        <f>SUBTOTAL(109,Table321455769819310562[Difference])</f>
        <v>400</v>
      </c>
      <c r="F33" s="67"/>
      <c r="H33" s="120"/>
      <c r="I33" s="121"/>
      <c r="J33" s="121"/>
      <c r="K33" s="121"/>
      <c r="L33" s="121"/>
      <c r="M33" s="135"/>
      <c r="N33" s="135"/>
      <c r="O33" s="135"/>
      <c r="P33" s="135"/>
      <c r="Q33" s="136"/>
    </row>
    <row r="34" spans="1:17" ht="15.75" customHeight="1" x14ac:dyDescent="0.2">
      <c r="A34" s="2"/>
      <c r="B34" s="113"/>
      <c r="C34" s="113"/>
      <c r="D34" s="113"/>
      <c r="E34" s="113"/>
      <c r="F34" s="67"/>
      <c r="H34" s="122"/>
      <c r="I34" s="123"/>
      <c r="J34" s="123"/>
      <c r="K34" s="123"/>
      <c r="L34" s="123"/>
      <c r="M34" s="137"/>
      <c r="N34" s="137"/>
      <c r="O34" s="137"/>
      <c r="P34" s="137"/>
      <c r="Q34" s="138"/>
    </row>
    <row r="35" spans="1:17" ht="15.75" customHeight="1" x14ac:dyDescent="0.2">
      <c r="A35" s="2"/>
      <c r="B35" s="16" t="s">
        <v>25</v>
      </c>
      <c r="C35" s="17" t="s">
        <v>0</v>
      </c>
      <c r="D35" s="17" t="s">
        <v>1</v>
      </c>
      <c r="E35" s="18" t="s">
        <v>2</v>
      </c>
      <c r="F35" s="67"/>
      <c r="H35" s="118" t="s">
        <v>110</v>
      </c>
      <c r="I35" s="119"/>
      <c r="J35" s="119"/>
      <c r="K35" s="119"/>
      <c r="L35" s="119"/>
      <c r="M35" s="124" t="str">
        <f>IF(M31&gt;M27,"NONE!",M31-M27)</f>
        <v>NONE!</v>
      </c>
      <c r="N35" s="125"/>
      <c r="O35" s="125"/>
      <c r="P35" s="125"/>
      <c r="Q35" s="126"/>
    </row>
    <row r="36" spans="1:17" ht="15.75" customHeight="1" x14ac:dyDescent="0.2">
      <c r="A36" s="2"/>
      <c r="B36" s="22" t="s">
        <v>68</v>
      </c>
      <c r="C36" s="19">
        <f>Table415395163758799[Projected Cost]+Table4153951637587994[Projected Cost]+Table415395163758799411[Projected Cost]+Table41539516375879941118[Projected Cost]+Table41539516375879925[Projected Cost]+Table4153951637587994111832[Projected Cost]+Table415395163758799411183239[Projected Cost]+Table41539516375879941118323946[Projected Cost]</f>
        <v>120</v>
      </c>
      <c r="D36" s="19">
        <f>Table415395163758799[Actual Cost]+Table4153951637587994[Actual Cost]+Table415395163758799411[Actual Cost]+Table41539516375879941118[Actual Cost]+Table41539516375879925[Actual Cost]+Table4153951637587994111832[Actual Cost]+Table415395163758799411183239[Actual Cost]+Table41539516375879941118323946[Actual Cost]</f>
        <v>0</v>
      </c>
      <c r="E36" s="20">
        <f>Table41539516375879960[Projected Cost]-Table41539516375879960[Actual Cost]</f>
        <v>120</v>
      </c>
      <c r="F36" s="67"/>
      <c r="H36" s="120"/>
      <c r="I36" s="121"/>
      <c r="J36" s="121"/>
      <c r="K36" s="121"/>
      <c r="L36" s="121"/>
      <c r="M36" s="127"/>
      <c r="N36" s="128"/>
      <c r="O36" s="128"/>
      <c r="P36" s="128"/>
      <c r="Q36" s="129"/>
    </row>
    <row r="37" spans="1:17" ht="15.75" customHeight="1" x14ac:dyDescent="0.2">
      <c r="A37" s="2"/>
      <c r="B37" s="37" t="s">
        <v>33</v>
      </c>
      <c r="C37" s="39">
        <f>SUBTOTAL(109,Table41539516375879960[Projected Cost])</f>
        <v>120</v>
      </c>
      <c r="D37" s="39">
        <f>SUBTOTAL(109,Table41539516375879960[Actual Cost])</f>
        <v>0</v>
      </c>
      <c r="E37" s="40">
        <f>SUBTOTAL(109,Table41539516375879960[Difference])</f>
        <v>120</v>
      </c>
      <c r="F37" s="67"/>
      <c r="H37" s="120"/>
      <c r="I37" s="121"/>
      <c r="J37" s="121"/>
      <c r="K37" s="121"/>
      <c r="L37" s="121"/>
      <c r="M37" s="127"/>
      <c r="N37" s="128"/>
      <c r="O37" s="128"/>
      <c r="P37" s="128"/>
      <c r="Q37" s="129"/>
    </row>
    <row r="38" spans="1:17" ht="15.75" customHeight="1" x14ac:dyDescent="0.2">
      <c r="A38" s="2"/>
      <c r="B38" s="113"/>
      <c r="C38" s="113"/>
      <c r="D38" s="113"/>
      <c r="E38" s="113"/>
      <c r="F38" s="67"/>
      <c r="H38" s="122"/>
      <c r="I38" s="123"/>
      <c r="J38" s="123"/>
      <c r="K38" s="123"/>
      <c r="L38" s="123"/>
      <c r="M38" s="130"/>
      <c r="N38" s="131"/>
      <c r="O38" s="131"/>
      <c r="P38" s="131"/>
      <c r="Q38" s="132"/>
    </row>
    <row r="39" spans="1:17" ht="15.75" customHeight="1" x14ac:dyDescent="0.2">
      <c r="A39" s="2"/>
      <c r="B39" s="16" t="s">
        <v>26</v>
      </c>
      <c r="C39" s="17" t="s">
        <v>0</v>
      </c>
      <c r="D39" s="17" t="s">
        <v>1</v>
      </c>
      <c r="E39" s="18" t="s">
        <v>2</v>
      </c>
      <c r="F39" s="67"/>
    </row>
    <row r="40" spans="1:17" ht="15.75" customHeight="1" x14ac:dyDescent="0.2">
      <c r="A40" s="2"/>
      <c r="B40" s="22" t="s">
        <v>92</v>
      </c>
      <c r="C40" s="19">
        <f>Table5194355677991103[[#This Row],[Projected Cost]]+Table51943556779911035[[#This Row],[Projected Cost]]+Table5194355677991103512[[#This Row],[Projected Cost]]+Table519435567799110351219[[#This Row],[Projected Cost]]+Table519435567799110326[[#This Row],[Projected Cost]]+Table51943556779911035121933[[#This Row],[Projected Cost]]+Table5194355677991103512193340[[#This Row],[Projected Cost]]+Table519435567799110351219334047[[#This Row],[Projected Cost]]</f>
        <v>4000</v>
      </c>
      <c r="D40" s="19">
        <f>Table5194355677991103[[#This Row],[Actual Cost]]+Table51943556779911035[[#This Row],[Actual Cost]]+Table5194355677991103512[[#This Row],[Actual Cost]]+Table519435567799110351219[[#This Row],[Actual Cost]]+Table519435567799110326[[#This Row],[Actual Cost]]+Table51943556779911035121933[[#This Row],[Actual Cost]]+Table5194355677991103512193340[[#This Row],[Actual Cost]]+Table519435567799110351219334047[[#This Row],[Actual Cost]]</f>
        <v>0</v>
      </c>
      <c r="E40" s="20">
        <f>Table519435567799110361[Projected Cost]-Table519435567799110361[Actual Cost]</f>
        <v>4000</v>
      </c>
      <c r="F40" s="67"/>
    </row>
    <row r="41" spans="1:17" ht="15.75" customHeight="1" x14ac:dyDescent="0.2">
      <c r="A41" s="2"/>
      <c r="B41" s="22" t="s">
        <v>15</v>
      </c>
      <c r="C41" s="19">
        <f>Table5194355677991103[[#This Row],[Projected Cost]]+Table51943556779911035[[#This Row],[Projected Cost]]+Table5194355677991103512[[#This Row],[Projected Cost]]+Table519435567799110351219[[#This Row],[Projected Cost]]+Table519435567799110326[[#This Row],[Projected Cost]]+Table51943556779911035121933[[#This Row],[Projected Cost]]+Table5194355677991103512193340[[#This Row],[Projected Cost]]+Table519435567799110351219334047[[#This Row],[Projected Cost]]</f>
        <v>800</v>
      </c>
      <c r="D41" s="19">
        <f>Table5194355677991103[[#This Row],[Actual Cost]]+Table51943556779911035[[#This Row],[Actual Cost]]+Table5194355677991103512[[#This Row],[Actual Cost]]+Table519435567799110351219[[#This Row],[Actual Cost]]+Table519435567799110326[[#This Row],[Actual Cost]]+Table51943556779911035121933[[#This Row],[Actual Cost]]+Table5194355677991103512193340[[#This Row],[Actual Cost]]+Table519435567799110351219334047[[#This Row],[Actual Cost]]</f>
        <v>0</v>
      </c>
      <c r="E41" s="20">
        <f>Table519435567799110361[Projected Cost]-Table519435567799110361[Actual Cost]</f>
        <v>800</v>
      </c>
      <c r="F41" s="67"/>
    </row>
    <row r="42" spans="1:17" ht="15.75" customHeight="1" x14ac:dyDescent="0.2">
      <c r="A42" s="2"/>
      <c r="B42" s="22" t="s">
        <v>6</v>
      </c>
      <c r="C42" s="19">
        <f>Table5194355677991103[[#This Row],[Projected Cost]]+Table51943556779911035[[#This Row],[Projected Cost]]+Table5194355677991103512[[#This Row],[Projected Cost]]+Table519435567799110351219[[#This Row],[Projected Cost]]+Table519435567799110326[[#This Row],[Projected Cost]]+Table51943556779911035121933[[#This Row],[Projected Cost]]+Table5194355677991103512193340[[#This Row],[Projected Cost]]+Table519435567799110351219334047[[#This Row],[Projected Cost]]</f>
        <v>0</v>
      </c>
      <c r="D42" s="19">
        <f>Table5194355677991103[[#This Row],[Actual Cost]]+Table51943556779911035[[#This Row],[Actual Cost]]+Table5194355677991103512[[#This Row],[Actual Cost]]+Table519435567799110351219[[#This Row],[Actual Cost]]+Table519435567799110326[[#This Row],[Actual Cost]]+Table51943556779911035121933[[#This Row],[Actual Cost]]+Table5194355677991103512193340[[#This Row],[Actual Cost]]+Table519435567799110351219334047[[#This Row],[Actual Cost]]</f>
        <v>0</v>
      </c>
      <c r="E42" s="20">
        <f>Table519435567799110361[Projected Cost]-Table519435567799110361[Actual Cost]</f>
        <v>0</v>
      </c>
      <c r="F42" s="67"/>
    </row>
    <row r="43" spans="1:17" ht="15.75" customHeight="1" x14ac:dyDescent="0.2">
      <c r="A43" s="2"/>
      <c r="B43" s="16" t="s">
        <v>33</v>
      </c>
      <c r="C43" s="19">
        <f>SUBTOTAL(109,Table519435567799110361[Projected Cost])</f>
        <v>4800</v>
      </c>
      <c r="D43" s="19">
        <f>SUBTOTAL(109,Table519435567799110361[Actual Cost])</f>
        <v>0</v>
      </c>
      <c r="E43" s="21">
        <f>SUBTOTAL(109,Table519435567799110361[Difference])</f>
        <v>4800</v>
      </c>
      <c r="F43" s="67"/>
    </row>
    <row r="44" spans="1:17" ht="15.75" customHeight="1" x14ac:dyDescent="0.2">
      <c r="A44" s="2"/>
      <c r="B44" s="113"/>
      <c r="C44" s="113"/>
      <c r="D44" s="113"/>
      <c r="E44" s="113"/>
      <c r="F44" s="67"/>
    </row>
    <row r="45" spans="1:17" ht="15.75" customHeight="1" x14ac:dyDescent="0.2">
      <c r="A45" s="2"/>
      <c r="B45" s="16" t="s">
        <v>27</v>
      </c>
      <c r="C45" s="17" t="s">
        <v>0</v>
      </c>
      <c r="D45" s="17" t="s">
        <v>1</v>
      </c>
      <c r="E45" s="18" t="s">
        <v>2</v>
      </c>
      <c r="F45" s="67"/>
    </row>
    <row r="46" spans="1:17" ht="17.25" customHeight="1" x14ac:dyDescent="0.2">
      <c r="A46" s="2"/>
      <c r="B46" s="22" t="s">
        <v>12</v>
      </c>
      <c r="C46"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160</v>
      </c>
      <c r="D46"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46" s="20">
        <f>Table724486072849610863[Projected Cost]-Table724486072849610863[Actual Cost]</f>
        <v>160</v>
      </c>
      <c r="F46" s="67"/>
    </row>
    <row r="47" spans="1:17" ht="15.75" customHeight="1" x14ac:dyDescent="0.2">
      <c r="A47" s="2"/>
      <c r="B47" s="22" t="s">
        <v>14</v>
      </c>
      <c r="C47"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400</v>
      </c>
      <c r="D47"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47" s="20">
        <f>Table724486072849610863[Projected Cost]-Table724486072849610863[Actual Cost]</f>
        <v>400</v>
      </c>
      <c r="F47" s="67"/>
    </row>
    <row r="48" spans="1:17" ht="15.75" customHeight="1" x14ac:dyDescent="0.2">
      <c r="A48" s="2"/>
      <c r="B48" s="22" t="s">
        <v>13</v>
      </c>
      <c r="C48"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400</v>
      </c>
      <c r="D48"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48" s="20">
        <f>Table724486072849610863[Projected Cost]-Table724486072849610863[Actual Cost]</f>
        <v>400</v>
      </c>
      <c r="F48" s="67"/>
    </row>
    <row r="49" spans="1:6" ht="15.75" customHeight="1" x14ac:dyDescent="0.2">
      <c r="A49" s="2"/>
      <c r="B49" s="22" t="s">
        <v>49</v>
      </c>
      <c r="C49"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320</v>
      </c>
      <c r="D49"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49" s="20">
        <f>Table724486072849610863[Projected Cost]-Table724486072849610863[Actual Cost]</f>
        <v>320</v>
      </c>
      <c r="F49" s="67"/>
    </row>
    <row r="50" spans="1:6" ht="15.75" customHeight="1" x14ac:dyDescent="0.2">
      <c r="A50" s="2"/>
      <c r="B50" s="22" t="s">
        <v>6</v>
      </c>
      <c r="C50" s="19">
        <f>Table7244860728496108[[#This Row],[Projected Cost]]+Table72448607284961087[[#This Row],[Projected Cost]]+Table7244860728496108714[[#This Row],[Projected Cost]]+Table724486072849610871421[[#This Row],[Projected Cost]]+Table724486072849610828[[#This Row],[Projected Cost]]+Table72448607284961087142135[[#This Row],[Projected Cost]]+Table7244860728496108714213542[[#This Row],[Projected Cost]]+Table724486072849610871421354249[[#This Row],[Projected Cost]]</f>
        <v>160</v>
      </c>
      <c r="D50" s="19">
        <f>Table7244860728496108[[#This Row],[Actual Cost]]+Table72448607284961087[[#This Row],[Actual Cost]]+Table7244860728496108714[[#This Row],[Actual Cost]]+Table724486072849610871421[[#This Row],[Actual Cost]]+Table724486072849610828[[#This Row],[Actual Cost]]+Table72448607284961087142135[[#This Row],[Actual Cost]]+Table7244860728496108714213542[[#This Row],[Actual Cost]]+Table724486072849610871421354249[[#This Row],[Actual Cost]]</f>
        <v>0</v>
      </c>
      <c r="E50" s="20">
        <f>Table724486072849610863[Projected Cost]-Table724486072849610863[Actual Cost]</f>
        <v>160</v>
      </c>
      <c r="F50" s="67"/>
    </row>
    <row r="51" spans="1:6" ht="15.75" customHeight="1" x14ac:dyDescent="0.2">
      <c r="A51" s="2"/>
      <c r="B51" s="37" t="s">
        <v>33</v>
      </c>
      <c r="C51" s="39">
        <f>SUBTOTAL(109,Table724486072849610863[Projected Cost])</f>
        <v>1440</v>
      </c>
      <c r="D51" s="39">
        <f>SUBTOTAL(109,Table724486072849610863[Actual Cost])</f>
        <v>0</v>
      </c>
      <c r="E51" s="40">
        <f>SUBTOTAL(109,Table724486072849610863[Difference])</f>
        <v>1440</v>
      </c>
      <c r="F51" s="67"/>
    </row>
    <row r="52" spans="1:6" ht="15.75" customHeight="1" x14ac:dyDescent="0.2">
      <c r="A52" s="2"/>
      <c r="F52" s="67"/>
    </row>
    <row r="53" spans="1:6" ht="15.75" customHeight="1" x14ac:dyDescent="0.2">
      <c r="A53" s="2"/>
      <c r="B53" s="16" t="s">
        <v>23</v>
      </c>
      <c r="C53" s="17" t="s">
        <v>0</v>
      </c>
      <c r="D53" s="17" t="s">
        <v>1</v>
      </c>
      <c r="E53" s="18" t="s">
        <v>2</v>
      </c>
      <c r="F53" s="67"/>
    </row>
    <row r="54" spans="1:6" ht="15.75" customHeight="1" x14ac:dyDescent="0.2">
      <c r="A54" s="2"/>
      <c r="B54" s="22" t="s">
        <v>81</v>
      </c>
      <c r="C54"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400</v>
      </c>
      <c r="D54"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4" s="20">
        <f>Table225496173859710964[Projected Cost]-Table225496173859710964[Actual Cost]</f>
        <v>400</v>
      </c>
      <c r="F54" s="67"/>
    </row>
    <row r="55" spans="1:6" ht="15.75" customHeight="1" x14ac:dyDescent="0.2">
      <c r="A55" s="2"/>
      <c r="B55" s="22" t="s">
        <v>16</v>
      </c>
      <c r="C55"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120</v>
      </c>
      <c r="D55"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5" s="20">
        <f>Table225496173859710964[Projected Cost]-Table225496173859710964[Actual Cost]</f>
        <v>120</v>
      </c>
      <c r="F55" s="13"/>
    </row>
    <row r="56" spans="1:6" ht="15.75" customHeight="1" x14ac:dyDescent="0.2">
      <c r="A56" s="2"/>
      <c r="B56" s="22" t="s">
        <v>17</v>
      </c>
      <c r="C56"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160</v>
      </c>
      <c r="D56"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6" s="20">
        <f>Table225496173859710964[Projected Cost]-Table225496173859710964[Actual Cost]</f>
        <v>160</v>
      </c>
      <c r="F56" s="13"/>
    </row>
    <row r="57" spans="1:6" ht="15.75" customHeight="1" x14ac:dyDescent="0.2">
      <c r="A57" s="2"/>
      <c r="B57" s="22" t="s">
        <v>21</v>
      </c>
      <c r="C57"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0</v>
      </c>
      <c r="D57"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7" s="20">
        <f>Table225496173859710964[Projected Cost]-Table225496173859710964[Actual Cost]</f>
        <v>0</v>
      </c>
      <c r="F57" s="13"/>
    </row>
    <row r="58" spans="1:6" ht="15.75" customHeight="1" x14ac:dyDescent="0.2">
      <c r="A58" s="2"/>
      <c r="B58" s="22" t="s">
        <v>6</v>
      </c>
      <c r="C58" s="19">
        <f>Table2254961738597109[[#This Row],[Projected Cost]]+Table22549617385971098[[#This Row],[Projected Cost]]+Table2254961738597109815[[#This Row],[Projected Cost]]+Table225496173859710981522[[#This Row],[Projected Cost]]+Table225496173859710929[[#This Row],[Projected Cost]]+Table22549617385971098152236[[#This Row],[Projected Cost]]+Table2254961738597109815223643[[#This Row],[Projected Cost]]+Table225496173859710981522364350[[#This Row],[Projected Cost]]</f>
        <v>800</v>
      </c>
      <c r="D58" s="19">
        <f>Table2254961738597109[[#This Row],[Actual Cost]]+Table22549617385971098[[#This Row],[Actual Cost]]+Table2254961738597109815[[#This Row],[Actual Cost]]+Table225496173859710981522[[#This Row],[Actual Cost]]+Table225496173859710929[[#This Row],[Actual Cost]]+Table22549617385971098152236[[#This Row],[Actual Cost]]+Table2254961738597109815223643[[#This Row],[Actual Cost]]+Table225496173859710981522364350[[#This Row],[Actual Cost]]</f>
        <v>0</v>
      </c>
      <c r="E58" s="20">
        <f>Table225496173859710964[Projected Cost]-Table225496173859710964[Actual Cost]</f>
        <v>800</v>
      </c>
      <c r="F58" s="13"/>
    </row>
    <row r="59" spans="1:6" ht="15.75" customHeight="1" x14ac:dyDescent="0.2">
      <c r="A59" s="2"/>
      <c r="B59" s="37" t="s">
        <v>33</v>
      </c>
      <c r="C59" s="38">
        <f>SUBTOTAL(109,Table225496173859710964[Projected Cost])</f>
        <v>1480</v>
      </c>
      <c r="D59" s="39">
        <f>SUBTOTAL(109,Table225496173859710964[Actual Cost])</f>
        <v>0</v>
      </c>
      <c r="E59" s="40">
        <f>SUBTOTAL(109,Table225496173859710964[Difference])</f>
        <v>1480</v>
      </c>
      <c r="F59" s="13"/>
    </row>
    <row r="60" spans="1:6" ht="15.75" customHeight="1" x14ac:dyDescent="0.2">
      <c r="A60" s="2"/>
      <c r="F60" s="13"/>
    </row>
    <row r="61" spans="1:6" ht="15.75" customHeight="1" x14ac:dyDescent="0.2">
      <c r="A61" s="2"/>
      <c r="F61" s="13"/>
    </row>
    <row r="62" spans="1:6" ht="15.75" customHeight="1" x14ac:dyDescent="0.2">
      <c r="B62" s="102" t="s">
        <v>30</v>
      </c>
      <c r="C62" s="102"/>
      <c r="D62" s="102"/>
      <c r="E62" s="117">
        <f>SUM(C17,C25,C33,C37,C43,C51,C59)</f>
        <v>25620</v>
      </c>
    </row>
    <row r="63" spans="1:6" x14ac:dyDescent="0.2">
      <c r="B63" s="102"/>
      <c r="C63" s="102"/>
      <c r="D63" s="102"/>
      <c r="E63" s="117"/>
    </row>
    <row r="64" spans="1:6" x14ac:dyDescent="0.2">
      <c r="B64" s="102" t="s">
        <v>31</v>
      </c>
      <c r="C64" s="102"/>
      <c r="D64" s="102"/>
      <c r="E64" s="117">
        <f>SUM(D17,D25,D33,D37,D43,D51,D59)</f>
        <v>0</v>
      </c>
    </row>
    <row r="65" spans="2:5" x14ac:dyDescent="0.2">
      <c r="B65" s="102"/>
      <c r="C65" s="102"/>
      <c r="D65" s="102"/>
      <c r="E65" s="117"/>
    </row>
    <row r="66" spans="2:5" ht="14.65" customHeight="1" x14ac:dyDescent="0.2">
      <c r="B66" s="102" t="s">
        <v>32</v>
      </c>
      <c r="C66" s="102"/>
      <c r="D66" s="102"/>
      <c r="E66" s="117">
        <f>SUM(E17,E25,E33,E37,E43,E51,E59)</f>
        <v>25620</v>
      </c>
    </row>
    <row r="67" spans="2:5" x14ac:dyDescent="0.2">
      <c r="B67" s="102"/>
      <c r="C67" s="102"/>
      <c r="D67" s="102"/>
      <c r="E67" s="117"/>
    </row>
  </sheetData>
  <mergeCells count="40">
    <mergeCell ref="H35:L38"/>
    <mergeCell ref="M35:Q38"/>
    <mergeCell ref="H27:L30"/>
    <mergeCell ref="M27:Q30"/>
    <mergeCell ref="H31:L34"/>
    <mergeCell ref="M31:Q34"/>
    <mergeCell ref="H20:L23"/>
    <mergeCell ref="M20:Q23"/>
    <mergeCell ref="H16:L19"/>
    <mergeCell ref="M16:Q19"/>
    <mergeCell ref="B4:B6"/>
    <mergeCell ref="H12:L15"/>
    <mergeCell ref="M12:Q15"/>
    <mergeCell ref="G8:K9"/>
    <mergeCell ref="L8:L9"/>
    <mergeCell ref="Q5:R5"/>
    <mergeCell ref="B62:D63"/>
    <mergeCell ref="E62:E63"/>
    <mergeCell ref="B64:D65"/>
    <mergeCell ref="E64:E65"/>
    <mergeCell ref="B66:D67"/>
    <mergeCell ref="E66:E67"/>
    <mergeCell ref="B44:E44"/>
    <mergeCell ref="B34:E34"/>
    <mergeCell ref="B38:E38"/>
    <mergeCell ref="B26:E26"/>
    <mergeCell ref="B7:B9"/>
    <mergeCell ref="C7:D7"/>
    <mergeCell ref="C8:D8"/>
    <mergeCell ref="C9:D9"/>
    <mergeCell ref="B3:D3"/>
    <mergeCell ref="T5:U5"/>
    <mergeCell ref="W5:X5"/>
    <mergeCell ref="C6:D6"/>
    <mergeCell ref="G6:K7"/>
    <mergeCell ref="L6:L7"/>
    <mergeCell ref="C5:D5"/>
    <mergeCell ref="L4:L5"/>
    <mergeCell ref="G4:K5"/>
    <mergeCell ref="C4:D4"/>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 C40:D40 C20:C22 C41:C42 C23:C24" calculatedColumn="1"/>
  </ignoredErrors>
  <drawing r:id="rId2"/>
  <tableParts count="7">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tabSelected="1" workbookViewId="0">
      <pane ySplit="2" topLeftCell="A6" activePane="bottomLeft" state="frozen"/>
      <selection pane="bottomLeft" activeCell="N27" sqref="N27"/>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September Monthly Budget")</f>
        <v>-  September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500</v>
      </c>
      <c r="F4" s="5"/>
      <c r="G4" s="102" t="s">
        <v>34</v>
      </c>
      <c r="H4" s="102"/>
      <c r="I4" s="102"/>
      <c r="J4" s="102"/>
      <c r="K4" s="102"/>
      <c r="L4" s="117">
        <f>E6-E62</f>
        <v>-6002.5</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32">
        <f>SUM(E4:E5)</f>
        <v>500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6002.5</v>
      </c>
      <c r="Q8" s="44"/>
      <c r="R8" s="44"/>
      <c r="S8" s="44"/>
      <c r="T8" s="44"/>
      <c r="U8" s="44"/>
      <c r="V8" s="44"/>
      <c r="W8" s="44"/>
      <c r="X8" s="44"/>
      <c r="Y8" s="44"/>
    </row>
    <row r="9" spans="1:32" ht="16.149999999999999" customHeight="1" x14ac:dyDescent="0.2">
      <c r="A9" s="2"/>
      <c r="B9" s="116"/>
      <c r="C9" s="100" t="s">
        <v>19</v>
      </c>
      <c r="D9" s="101"/>
      <c r="E9" s="32">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31"/>
      <c r="C10" s="31"/>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f>Table114385062748698265[[#This Row],[Projected Cost]]/2</f>
        <v>3500</v>
      </c>
      <c r="D12" s="19">
        <f>L16</f>
        <v>0</v>
      </c>
      <c r="E12" s="20">
        <f>Table1143850627486982[Projected Cost]-Table1143850627486982[Actual Cost]</f>
        <v>3500</v>
      </c>
      <c r="F12" s="5"/>
      <c r="H12" s="24" t="s">
        <v>38</v>
      </c>
      <c r="I12" s="25" t="s">
        <v>46</v>
      </c>
      <c r="J12" s="41"/>
      <c r="K12" s="142" t="s">
        <v>50</v>
      </c>
      <c r="L12" s="143"/>
      <c r="M12" s="44"/>
      <c r="N12" s="142" t="s">
        <v>51</v>
      </c>
      <c r="O12" s="143"/>
      <c r="P12" s="44"/>
      <c r="Q12" s="146" t="s">
        <v>54</v>
      </c>
      <c r="R12" s="147"/>
      <c r="S12" s="44"/>
      <c r="T12" s="142" t="s">
        <v>5</v>
      </c>
      <c r="U12" s="143"/>
      <c r="V12" s="44"/>
      <c r="W12" s="142" t="s">
        <v>6</v>
      </c>
      <c r="X12" s="143"/>
    </row>
    <row r="13" spans="1:32" ht="16.149999999999999" customHeight="1" thickBot="1" x14ac:dyDescent="0.25">
      <c r="A13" s="2"/>
      <c r="B13" s="22" t="s">
        <v>51</v>
      </c>
      <c r="C13" s="19">
        <v>100</v>
      </c>
      <c r="D13" s="19">
        <f>O16</f>
        <v>0</v>
      </c>
      <c r="E13" s="20">
        <f>Table1143850627486982[Projected Cost]-Table1143850627486982[Actual Cost]</f>
        <v>100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750</v>
      </c>
      <c r="D14" s="19">
        <f>R22</f>
        <v>0</v>
      </c>
      <c r="E14" s="20">
        <f>Table1143850627486982[Projected Cost]-Table1143850627486982[Actual Cost]</f>
        <v>750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100</v>
      </c>
      <c r="D15" s="19">
        <f>U22</f>
        <v>0</v>
      </c>
      <c r="E15" s="20">
        <f>Table1143850627486982[Projected Cost]-Table1143850627486982[Actual Cost]</f>
        <v>100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Table1143850627486982[Projected Cost]-Table1143850627486982[Actual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SUBTOTAL(109,Table1143850627486982[Projected Cost])</f>
        <v>4500</v>
      </c>
      <c r="D17" s="19">
        <f>SUBTOTAL(109,Table1143850627486982[Actual Cost])</f>
        <v>0</v>
      </c>
      <c r="E17" s="21">
        <f>SUBTOTAL(109,Table1143850627486982[Difference])</f>
        <v>4500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812.5</v>
      </c>
      <c r="D20" s="19">
        <f>L29</f>
        <v>0</v>
      </c>
      <c r="E20" s="20">
        <f>Table114385062748698[Projected Cost]-Table114385062748698[Actual Cost]</f>
        <v>812.5</v>
      </c>
      <c r="F20" s="33"/>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Table114385062748698[Projected Cost]-Table114385062748698[Actual Cost]</f>
        <v>70</v>
      </c>
      <c r="F21" s="33"/>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Table114385062748698[Projected Cost]-Table114385062748698[Actual Cost]</f>
        <v>20</v>
      </c>
      <c r="F22" s="33"/>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Table114385062748698[Projected Cost]-Table114385062748698[Actual Cost]</f>
        <v>20</v>
      </c>
      <c r="F23" s="33"/>
      <c r="H23" s="36" t="s">
        <v>33</v>
      </c>
      <c r="I23" s="30">
        <f>SUM(I13:I22)</f>
        <v>0</v>
      </c>
      <c r="J23" s="42"/>
      <c r="U23" s="23"/>
    </row>
    <row r="24" spans="1:24" ht="15.75" customHeight="1" thickBot="1" x14ac:dyDescent="0.25">
      <c r="A24" s="2"/>
      <c r="B24" s="22" t="s">
        <v>6</v>
      </c>
      <c r="C24" s="19">
        <v>50</v>
      </c>
      <c r="D24" s="19">
        <f>X29</f>
        <v>0</v>
      </c>
      <c r="E24" s="20">
        <f>Table114385062748698[Projected Cost]-Table114385062748698[Actual Cost]</f>
        <v>50</v>
      </c>
      <c r="F24" s="33"/>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SUBTOTAL(109,Table114385062748698[Projected Cost])</f>
        <v>972.5</v>
      </c>
      <c r="D25" s="19">
        <f>SUBTOTAL(109,Table114385062748698[Actual Cost])</f>
        <v>0</v>
      </c>
      <c r="E25" s="21">
        <f>SUBTOTAL(109,Table114385062748698[Difference])</f>
        <v>972.5</v>
      </c>
      <c r="F25" s="33"/>
      <c r="J25" s="42"/>
      <c r="K25" s="142" t="s">
        <v>48</v>
      </c>
      <c r="L25" s="143"/>
      <c r="M25" s="44"/>
      <c r="N25" s="142" t="s">
        <v>4</v>
      </c>
      <c r="O25" s="143"/>
      <c r="P25" s="44"/>
      <c r="Q25" s="142" t="s">
        <v>47</v>
      </c>
      <c r="R25" s="143"/>
      <c r="S25" s="44"/>
      <c r="T25" s="142" t="s">
        <v>37</v>
      </c>
      <c r="U25" s="143"/>
      <c r="V25" s="44"/>
      <c r="W25" s="142" t="s">
        <v>6</v>
      </c>
      <c r="X25" s="143"/>
    </row>
    <row r="26" spans="1:24" ht="15.75" customHeight="1" thickBot="1" x14ac:dyDescent="0.25">
      <c r="A26" s="2"/>
      <c r="B26" s="113"/>
      <c r="C26" s="113"/>
      <c r="D26" s="113"/>
      <c r="E26" s="113"/>
      <c r="F26" s="33"/>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33"/>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Table3214557698193105[Projected Cost]-Table3214557698193105[Actual Cost]</f>
        <v>0</v>
      </c>
      <c r="F28" s="33"/>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Table3214557698193105[Projected Cost]-Table3214557698193105[Actual Cost]</f>
        <v>0</v>
      </c>
      <c r="F29" s="33"/>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Table3214557698193105[Projected Cost]-Table3214557698193105[Actual Cost]</f>
        <v>0</v>
      </c>
      <c r="F30" s="33"/>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Table3214557698193105[Projected Cost]-Table3214557698193105[Actual Cost]</f>
        <v>0</v>
      </c>
      <c r="F31" s="33"/>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Table3214557698193105[Projected Cost]-Table3214557698193105[Actual Cost]</f>
        <v>50</v>
      </c>
      <c r="F32" s="33"/>
      <c r="K32" s="142" t="s">
        <v>39</v>
      </c>
      <c r="L32" s="143"/>
      <c r="M32" s="44"/>
      <c r="N32" s="142" t="s">
        <v>7</v>
      </c>
      <c r="O32" s="143"/>
      <c r="P32" s="44"/>
      <c r="Q32" s="142" t="s">
        <v>8</v>
      </c>
      <c r="R32" s="143"/>
      <c r="S32" s="44"/>
      <c r="T32" s="142" t="s">
        <v>9</v>
      </c>
      <c r="U32" s="143"/>
      <c r="V32" s="44"/>
      <c r="W32" s="142" t="s">
        <v>62</v>
      </c>
      <c r="X32" s="143"/>
    </row>
    <row r="33" spans="1:24" ht="15.75" customHeight="1" thickBot="1" x14ac:dyDescent="0.25">
      <c r="A33" s="2"/>
      <c r="B33" s="16" t="s">
        <v>33</v>
      </c>
      <c r="C33" s="19">
        <f>SUBTOTAL(109,Table3214557698193105[Projected Cost])</f>
        <v>50</v>
      </c>
      <c r="D33" s="19">
        <f>SUBTOTAL(109,Table3214557698193105[Actual Cost])</f>
        <v>0</v>
      </c>
      <c r="E33" s="21">
        <f>SUBTOTAL(109,Table3214557698193105[Difference])</f>
        <v>50</v>
      </c>
      <c r="F33" s="33"/>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33"/>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33"/>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Table415395163758799[Projected Cost]-Table415395163758799[Actual Cost]</f>
        <v>15</v>
      </c>
      <c r="F36" s="33"/>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SUBTOTAL(109,Table415395163758799[Projected Cost])</f>
        <v>15</v>
      </c>
      <c r="D37" s="19">
        <f>SUBTOTAL(109,Table415395163758799[Actual Cost])</f>
        <v>0</v>
      </c>
      <c r="E37" s="21">
        <f>SUBTOTAL(109,Table415395163758799[Difference])</f>
        <v>15</v>
      </c>
      <c r="F37" s="33"/>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33"/>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33"/>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500</v>
      </c>
      <c r="D40" s="19">
        <f>O53</f>
        <v>0</v>
      </c>
      <c r="E40" s="20">
        <f>Table5194355677991103[Projected Cost]-Table5194355677991103[Actual Cost]</f>
        <v>500</v>
      </c>
      <c r="F40" s="33"/>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Table5194355677991103[Projected Cost]-Table5194355677991103[Actual Cost]</f>
        <v>100</v>
      </c>
      <c r="F41" s="33"/>
    </row>
    <row r="42" spans="1:24" ht="15.75" customHeight="1" thickBot="1" x14ac:dyDescent="0.25">
      <c r="A42" s="2"/>
      <c r="B42" s="22" t="s">
        <v>6</v>
      </c>
      <c r="C42" s="19">
        <v>0</v>
      </c>
      <c r="D42" s="19">
        <f>U49</f>
        <v>0</v>
      </c>
      <c r="E42" s="20">
        <f>Table5194355677991103[Projected Cost]-Table5194355677991103[Actual Cost]</f>
        <v>0</v>
      </c>
      <c r="F42" s="33"/>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SUBTOTAL(109,Table5194355677991103[Projected Cost])</f>
        <v>600</v>
      </c>
      <c r="D43" s="19">
        <f>SUBTOTAL(109,Table5194355677991103[Actual Cost])</f>
        <v>0</v>
      </c>
      <c r="E43" s="21">
        <f>SUBTOTAL(109,Table5194355677991103[Difference])</f>
        <v>600</v>
      </c>
      <c r="F43" s="33"/>
      <c r="K43" s="45" t="s">
        <v>38</v>
      </c>
      <c r="L43" s="46" t="s">
        <v>46</v>
      </c>
      <c r="N43" s="142" t="s">
        <v>10</v>
      </c>
      <c r="O43" s="143"/>
      <c r="P43" s="44"/>
      <c r="Q43" s="142" t="s">
        <v>40</v>
      </c>
      <c r="R43" s="143"/>
      <c r="S43" s="58"/>
      <c r="T43" s="142" t="s">
        <v>6</v>
      </c>
      <c r="U43" s="143"/>
    </row>
    <row r="44" spans="1:24" ht="15.75" customHeight="1" thickBot="1" x14ac:dyDescent="0.25">
      <c r="A44" s="2"/>
      <c r="B44" s="113"/>
      <c r="C44" s="113"/>
      <c r="D44" s="113"/>
      <c r="E44" s="113"/>
      <c r="F44" s="33"/>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33"/>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Table7244860728496108[Projected Cost]-Table7244860728496108[Actual Cost]</f>
        <v>20</v>
      </c>
      <c r="F46" s="33"/>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Table7244860728496108[Projected Cost]-Table7244860728496108[Actual Cost]</f>
        <v>50</v>
      </c>
      <c r="F47" s="33"/>
      <c r="N47" s="47"/>
      <c r="O47" s="48"/>
      <c r="P47" s="44"/>
      <c r="Q47" s="47"/>
      <c r="R47" s="48"/>
      <c r="S47" s="58"/>
      <c r="T47" s="47"/>
      <c r="U47" s="48"/>
    </row>
    <row r="48" spans="1:24" ht="15.75" customHeight="1" thickBot="1" x14ac:dyDescent="0.25">
      <c r="A48" s="2"/>
      <c r="B48" s="22" t="s">
        <v>13</v>
      </c>
      <c r="C48" s="19">
        <v>50</v>
      </c>
      <c r="D48" s="19">
        <f>R64</f>
        <v>0</v>
      </c>
      <c r="E48" s="20">
        <f>Table7244860728496108[Projected Cost]-Table7244860728496108[Actual Cost]</f>
        <v>50</v>
      </c>
      <c r="F48" s="33"/>
      <c r="N48" s="47"/>
      <c r="O48" s="48"/>
      <c r="P48" s="44"/>
      <c r="Q48" s="47"/>
      <c r="R48" s="48"/>
      <c r="S48" s="58"/>
      <c r="T48" s="47"/>
      <c r="U48" s="48"/>
    </row>
    <row r="49" spans="1:24" ht="15.75" customHeight="1" thickBot="1" x14ac:dyDescent="0.25">
      <c r="A49" s="2"/>
      <c r="B49" s="22" t="s">
        <v>49</v>
      </c>
      <c r="C49" s="19">
        <v>40</v>
      </c>
      <c r="D49" s="19">
        <f>U60</f>
        <v>0</v>
      </c>
      <c r="E49" s="20">
        <f>Table7244860728496108[Projected Cost]-Table7244860728496108[Actual Cost]</f>
        <v>40</v>
      </c>
      <c r="F49" s="33"/>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Table7244860728496108[Projected Cost]-Table7244860728496108[Actual Cost]</f>
        <v>20</v>
      </c>
      <c r="F50" s="33"/>
      <c r="N50" s="47"/>
      <c r="O50" s="48"/>
      <c r="P50" s="44"/>
      <c r="Q50" s="47"/>
      <c r="R50" s="48"/>
      <c r="S50" s="58"/>
      <c r="T50" s="58"/>
      <c r="U50" s="64"/>
    </row>
    <row r="51" spans="1:24" ht="15.75" customHeight="1" x14ac:dyDescent="0.2">
      <c r="A51" s="2"/>
      <c r="B51" s="16" t="s">
        <v>33</v>
      </c>
      <c r="C51" s="19">
        <f>SUBTOTAL(109,Table7244860728496108[Projected Cost])</f>
        <v>180</v>
      </c>
      <c r="D51" s="19">
        <f>SUBTOTAL(109,Table7244860728496108[Actual Cost])</f>
        <v>0</v>
      </c>
      <c r="E51" s="21">
        <f>SUBTOTAL(109,Table7244860728496108[Difference])</f>
        <v>180</v>
      </c>
      <c r="F51" s="33"/>
      <c r="N51" s="47"/>
      <c r="O51" s="48"/>
      <c r="P51" s="44"/>
      <c r="Q51" s="47"/>
      <c r="R51" s="48"/>
      <c r="S51" s="58"/>
      <c r="T51" s="58"/>
      <c r="U51" s="64"/>
    </row>
    <row r="52" spans="1:24" ht="15.75" customHeight="1" thickBot="1" x14ac:dyDescent="0.25">
      <c r="A52" s="2"/>
      <c r="F52" s="33"/>
      <c r="N52" s="47"/>
      <c r="O52" s="48"/>
      <c r="P52" s="44"/>
      <c r="Q52" s="47"/>
      <c r="R52" s="48"/>
      <c r="S52" s="58"/>
      <c r="T52" s="58"/>
      <c r="U52" s="64"/>
    </row>
    <row r="53" spans="1:24" ht="15.75" customHeight="1" thickBot="1" x14ac:dyDescent="0.25">
      <c r="A53" s="2"/>
      <c r="B53" s="16" t="s">
        <v>23</v>
      </c>
      <c r="C53" s="17" t="s">
        <v>0</v>
      </c>
      <c r="D53" s="17" t="s">
        <v>1</v>
      </c>
      <c r="E53" s="18" t="s">
        <v>2</v>
      </c>
      <c r="F53" s="33"/>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Table2254961738597109[Projected Cost]-Table2254961738597109[Actual Cost]</f>
        <v>50</v>
      </c>
      <c r="F54" s="33"/>
    </row>
    <row r="55" spans="1:24" ht="15.75" customHeight="1" thickBot="1" x14ac:dyDescent="0.25">
      <c r="A55" s="2"/>
      <c r="B55" s="22" t="s">
        <v>16</v>
      </c>
      <c r="C55" s="19">
        <v>15</v>
      </c>
      <c r="D55" s="19">
        <f>O71</f>
        <v>0</v>
      </c>
      <c r="E55" s="20">
        <f>Table2254961738597109[Projected Cost]-Table2254961738597109[Actual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Table2254961738597109[Projected Cost]-Table2254961738597109[Actual Cost]</f>
        <v>20</v>
      </c>
      <c r="F56" s="13"/>
      <c r="K56" s="142" t="s">
        <v>12</v>
      </c>
      <c r="L56" s="143"/>
      <c r="M56" s="44"/>
      <c r="N56" s="142" t="s">
        <v>71</v>
      </c>
      <c r="O56" s="143"/>
      <c r="P56" s="44"/>
      <c r="Q56" s="142" t="s">
        <v>13</v>
      </c>
      <c r="R56" s="143"/>
      <c r="S56" s="44"/>
      <c r="T56" s="142" t="s">
        <v>49</v>
      </c>
      <c r="U56" s="143"/>
      <c r="V56" s="44"/>
      <c r="W56" s="142" t="s">
        <v>6</v>
      </c>
      <c r="X56" s="143"/>
    </row>
    <row r="57" spans="1:24" ht="15.75" customHeight="1" thickBot="1" x14ac:dyDescent="0.25">
      <c r="A57" s="2"/>
      <c r="B57" s="22" t="s">
        <v>21</v>
      </c>
      <c r="C57" s="19">
        <v>0</v>
      </c>
      <c r="D57" s="19">
        <f>U71</f>
        <v>0</v>
      </c>
      <c r="E57" s="20">
        <f>Table2254961738597109[Projected Cost]-Table2254961738597109[Actual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Table2254961738597109[Projected Cost]-Table2254961738597109[Actual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37" t="s">
        <v>33</v>
      </c>
      <c r="C59" s="38">
        <f>SUBTOTAL(109,Table2254961738597109[Projected Cost])</f>
        <v>185</v>
      </c>
      <c r="D59" s="39">
        <f>SUBTOTAL(109,Table2254961738597109[Actual Cost])</f>
        <v>0</v>
      </c>
      <c r="E59" s="40">
        <f>SUBTOTAL(109,Table2254961738597109[Difference])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6502.5</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6502.5</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2" t="s">
        <v>41</v>
      </c>
      <c r="L67" s="143"/>
      <c r="M67" s="44"/>
      <c r="N67" s="142" t="s">
        <v>16</v>
      </c>
      <c r="O67" s="143"/>
      <c r="P67" s="44"/>
      <c r="Q67" s="142" t="s">
        <v>17</v>
      </c>
      <c r="R67" s="143"/>
      <c r="S67" s="44"/>
      <c r="T67" s="142" t="s">
        <v>77</v>
      </c>
      <c r="U67" s="143"/>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11:X11"/>
    <mergeCell ref="H11:I11"/>
    <mergeCell ref="W12:X12"/>
    <mergeCell ref="T12:U12"/>
    <mergeCell ref="Q12:R12"/>
    <mergeCell ref="N12:O12"/>
    <mergeCell ref="K12:L12"/>
    <mergeCell ref="K66:X66"/>
    <mergeCell ref="K67:L67"/>
    <mergeCell ref="N67:O67"/>
    <mergeCell ref="Q67:R67"/>
    <mergeCell ref="T67:U67"/>
    <mergeCell ref="W67:X67"/>
    <mergeCell ref="T43:U43"/>
    <mergeCell ref="N42:U42"/>
    <mergeCell ref="K55:X55"/>
    <mergeCell ref="K56:L56"/>
    <mergeCell ref="N56:O56"/>
    <mergeCell ref="Q56:R56"/>
    <mergeCell ref="T56:U56"/>
    <mergeCell ref="W56:X56"/>
    <mergeCell ref="K42:L42"/>
    <mergeCell ref="N43:O43"/>
    <mergeCell ref="Q43:R43"/>
    <mergeCell ref="K24:X24"/>
    <mergeCell ref="K25:L25"/>
    <mergeCell ref="N25:O25"/>
    <mergeCell ref="Q25:R25"/>
    <mergeCell ref="T25:U25"/>
    <mergeCell ref="W25:X25"/>
    <mergeCell ref="K32:L32"/>
    <mergeCell ref="N32:O32"/>
    <mergeCell ref="Q32:R32"/>
    <mergeCell ref="T32:U32"/>
    <mergeCell ref="W32:X32"/>
    <mergeCell ref="Q5:R5"/>
    <mergeCell ref="T5:U5"/>
    <mergeCell ref="W5:X5"/>
    <mergeCell ref="L8:L9"/>
    <mergeCell ref="B66:D67"/>
    <mergeCell ref="E66:E67"/>
    <mergeCell ref="B44:E44"/>
    <mergeCell ref="B62:D63"/>
    <mergeCell ref="E62:E63"/>
    <mergeCell ref="B26:E26"/>
    <mergeCell ref="C9:D9"/>
    <mergeCell ref="B64:D65"/>
    <mergeCell ref="E64:E65"/>
    <mergeCell ref="B38:E38"/>
    <mergeCell ref="B34:E34"/>
    <mergeCell ref="K31:X31"/>
    <mergeCell ref="B3:D3"/>
    <mergeCell ref="B4:B6"/>
    <mergeCell ref="C4:D4"/>
    <mergeCell ref="G4:K5"/>
    <mergeCell ref="L4:L5"/>
    <mergeCell ref="C5:D5"/>
    <mergeCell ref="C6:D6"/>
    <mergeCell ref="G6:K7"/>
    <mergeCell ref="L6:L7"/>
    <mergeCell ref="B7:B9"/>
    <mergeCell ref="C7:D7"/>
    <mergeCell ref="C8:D8"/>
    <mergeCell ref="G8:K9"/>
  </mergeCells>
  <conditionalFormatting sqref="E54:E59 E28:E33 E20:E25 E36:E37 E40:E43 E46:E51">
    <cfRule type="iconSet" priority="4">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6:D50" calculatedColumn="1"/>
  </ignoredErrors>
  <drawing r:id="rId2"/>
  <tableParts count="7">
    <tablePart r:id="rId3"/>
    <tablePart r:id="rId4"/>
    <tablePart r:id="rId5"/>
    <tablePart r:id="rId6"/>
    <tablePart r:id="rId7"/>
    <tablePart r:id="rId8"/>
    <tablePart r:id="rId9"/>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G29" sqref="G29"/>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October Monthly Budget")</f>
        <v>-  October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500</v>
      </c>
      <c r="F4" s="5"/>
      <c r="G4" s="102" t="s">
        <v>34</v>
      </c>
      <c r="H4" s="102"/>
      <c r="I4" s="102"/>
      <c r="J4" s="102"/>
      <c r="K4" s="102"/>
      <c r="L4" s="117">
        <f>E6-E62</f>
        <v>-1602.5</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500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1602.5</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Table11438506274869829[Projected Cost]-Table11438506274869829[Actual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Table11438506274869829[Projected Cost]-Table11438506274869829[Actual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Table11438506274869829[Projected Cost]-Table11438506274869829[Actual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Table11438506274869829[Projected Cost]-Table11438506274869829[Actual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Table11438506274869829[Projected Cost]-Table11438506274869829[Actual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SUBTOTAL(109,Table11438506274869829[Projected Cost])</f>
        <v>100</v>
      </c>
      <c r="D17" s="19">
        <f>SUBTOTAL(109,Table11438506274869829[Actual Cost])</f>
        <v>0</v>
      </c>
      <c r="E17" s="21">
        <f>SUBTOTAL(109,Table11438506274869829[Difference])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812.5</v>
      </c>
      <c r="D20" s="19">
        <f>L29</f>
        <v>0</v>
      </c>
      <c r="E20" s="20">
        <f>Table1143850627486983[Projected Cost]-Table1143850627486983[Actual Cost]</f>
        <v>812.5</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Table1143850627486983[Projected Cost]-Table1143850627486983[Actual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Table1143850627486983[Projected Cost]-Table1143850627486983[Actual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Table1143850627486983[Projected Cost]-Table1143850627486983[Actual Cost]</f>
        <v>20</v>
      </c>
      <c r="F23" s="67"/>
      <c r="H23" s="36" t="s">
        <v>33</v>
      </c>
      <c r="I23" s="30">
        <f>SUM(I13:I22)</f>
        <v>0</v>
      </c>
      <c r="J23" s="42"/>
      <c r="U23" s="23"/>
    </row>
    <row r="24" spans="1:24" ht="15.75" customHeight="1" thickBot="1" x14ac:dyDescent="0.25">
      <c r="A24" s="2"/>
      <c r="B24" s="22" t="s">
        <v>6</v>
      </c>
      <c r="C24" s="19">
        <v>50</v>
      </c>
      <c r="D24" s="19">
        <f>X29</f>
        <v>0</v>
      </c>
      <c r="E24" s="20">
        <f>Table1143850627486983[Projected Cost]-Table1143850627486983[Actual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SUBTOTAL(109,Table1143850627486983[Projected Cost])</f>
        <v>972.5</v>
      </c>
      <c r="D25" s="19">
        <f>SUBTOTAL(109,Table1143850627486983[Actual Cost])</f>
        <v>0</v>
      </c>
      <c r="E25" s="21">
        <f>SUBTOTAL(109,Table1143850627486983[Difference])</f>
        <v>972.5</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Table32145576981931056[Projected Cost]-Table32145576981931056[Actual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Table32145576981931056[Projected Cost]-Table32145576981931056[Actual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Table32145576981931056[Projected Cost]-Table32145576981931056[Actual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Table32145576981931056[Projected Cost]-Table32145576981931056[Actual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Table32145576981931056[Projected Cost]-Table32145576981931056[Actual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SUBTOTAL(109,Table32145576981931056[Projected Cost])</f>
        <v>50</v>
      </c>
      <c r="D33" s="19">
        <f>SUBTOTAL(109,Table32145576981931056[Actual Cost])</f>
        <v>0</v>
      </c>
      <c r="E33" s="21">
        <f>SUBTOTAL(109,Table32145576981931056[Difference])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Table4153951637587994[Projected Cost]-Table4153951637587994[Actual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SUBTOTAL(109,Table4153951637587994[Projected Cost])</f>
        <v>15</v>
      </c>
      <c r="D37" s="19">
        <f>SUBTOTAL(109,Table4153951637587994[Actual Cost])</f>
        <v>0</v>
      </c>
      <c r="E37" s="21">
        <f>SUBTOTAL(109,Table4153951637587994[Difference])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500</v>
      </c>
      <c r="D40" s="19">
        <f>O53</f>
        <v>0</v>
      </c>
      <c r="E40" s="20">
        <f>Table51943556779911035[Projected Cost]-Table51943556779911035[Actual Cost]</f>
        <v>500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Table51943556779911035[Projected Cost]-Table51943556779911035[Actual Cost]</f>
        <v>100</v>
      </c>
      <c r="F41" s="67"/>
    </row>
    <row r="42" spans="1:24" ht="15.75" customHeight="1" thickBot="1" x14ac:dyDescent="0.25">
      <c r="A42" s="2"/>
      <c r="B42" s="22" t="s">
        <v>6</v>
      </c>
      <c r="C42" s="19">
        <v>0</v>
      </c>
      <c r="D42" s="19">
        <f>U49</f>
        <v>0</v>
      </c>
      <c r="E42" s="20">
        <f>Table51943556779911035[Projected Cost]-Table51943556779911035[Actual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SUBTOTAL(109,Table51943556779911035[Projected Cost])</f>
        <v>600</v>
      </c>
      <c r="D43" s="19">
        <f>SUBTOTAL(109,Table51943556779911035[Actual Cost])</f>
        <v>0</v>
      </c>
      <c r="E43" s="21">
        <f>SUBTOTAL(109,Table51943556779911035[Difference])</f>
        <v>600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Table72448607284961087[Projected Cost]-Table72448607284961087[Actual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Table72448607284961087[Projected Cost]-Table72448607284961087[Actual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Table72448607284961087[Projected Cost]-Table72448607284961087[Actual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Table72448607284961087[Projected Cost]-Table72448607284961087[Actual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Table72448607284961087[Projected Cost]-Table72448607284961087[Actual Cost]</f>
        <v>20</v>
      </c>
      <c r="F50" s="67"/>
      <c r="N50" s="47"/>
      <c r="O50" s="48"/>
      <c r="P50" s="44"/>
      <c r="Q50" s="47"/>
      <c r="R50" s="48"/>
      <c r="S50" s="58"/>
      <c r="T50" s="58"/>
      <c r="U50" s="64"/>
    </row>
    <row r="51" spans="1:24" ht="15.75" customHeight="1" x14ac:dyDescent="0.2">
      <c r="A51" s="2"/>
      <c r="B51" s="16" t="s">
        <v>33</v>
      </c>
      <c r="C51" s="19">
        <f>SUBTOTAL(109,Table72448607284961087[Projected Cost])</f>
        <v>180</v>
      </c>
      <c r="D51" s="19">
        <f>SUBTOTAL(109,Table72448607284961087[Actual Cost])</f>
        <v>0</v>
      </c>
      <c r="E51" s="21">
        <f>SUBTOTAL(109,Table72448607284961087[Difference])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Table22549617385971098[Projected Cost]-Table22549617385971098[Actual Cost]</f>
        <v>50</v>
      </c>
      <c r="F54" s="67"/>
    </row>
    <row r="55" spans="1:24" ht="15.75" customHeight="1" thickBot="1" x14ac:dyDescent="0.25">
      <c r="A55" s="2"/>
      <c r="B55" s="22" t="s">
        <v>16</v>
      </c>
      <c r="C55" s="19">
        <v>15</v>
      </c>
      <c r="D55" s="19">
        <f>O71</f>
        <v>0</v>
      </c>
      <c r="E55" s="20">
        <f>Table22549617385971098[Projected Cost]-Table22549617385971098[Actual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Table22549617385971098[Projected Cost]-Table22549617385971098[Actual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Table22549617385971098[Projected Cost]-Table22549617385971098[Actual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Table22549617385971098[Projected Cost]-Table22549617385971098[Actual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SUBTOTAL(109,Table22549617385971098[Projected Cost])</f>
        <v>185</v>
      </c>
      <c r="D59" s="19">
        <f>SUBTOTAL(109,Table22549617385971098[Actual Cost])</f>
        <v>0</v>
      </c>
      <c r="E59" s="21">
        <f>SUBTOTAL(109,Table22549617385971098[Difference])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2102.5</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2102.5</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K12" sqref="K12:L1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November Monthly Budget")</f>
        <v>-  November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500</v>
      </c>
      <c r="F4" s="5"/>
      <c r="G4" s="102" t="s">
        <v>34</v>
      </c>
      <c r="H4" s="102"/>
      <c r="I4" s="102"/>
      <c r="J4" s="102"/>
      <c r="K4" s="102"/>
      <c r="L4" s="117">
        <f>E6-E62</f>
        <v>-1602.5</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500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1602.5</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Table1143850627486982916[Projected Cost]-Table1143850627486982916[Actual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Table1143850627486982916[Projected Cost]-Table1143850627486982916[Actual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Table1143850627486982916[Projected Cost]-Table1143850627486982916[Actual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Table1143850627486982916[Projected Cost]-Table1143850627486982916[Actual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Table1143850627486982916[Projected Cost]-Table1143850627486982916[Actual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SUBTOTAL(109,Table1143850627486982916[Projected Cost])</f>
        <v>100</v>
      </c>
      <c r="D17" s="19">
        <f>SUBTOTAL(109,Table1143850627486982916[Actual Cost])</f>
        <v>0</v>
      </c>
      <c r="E17" s="21">
        <f>SUBTOTAL(109,Table1143850627486982916[Difference])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812.5</v>
      </c>
      <c r="D20" s="19">
        <f>L29</f>
        <v>0</v>
      </c>
      <c r="E20" s="20">
        <f>Table114385062748698310[Projected Cost]-Table114385062748698310[Actual Cost]</f>
        <v>812.5</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Table114385062748698310[Projected Cost]-Table114385062748698310[Actual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Table114385062748698310[Projected Cost]-Table114385062748698310[Actual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Table114385062748698310[Projected Cost]-Table114385062748698310[Actual Cost]</f>
        <v>20</v>
      </c>
      <c r="F23" s="67"/>
      <c r="H23" s="36" t="s">
        <v>33</v>
      </c>
      <c r="I23" s="30">
        <f>SUM(I13:I22)</f>
        <v>0</v>
      </c>
      <c r="J23" s="42"/>
      <c r="U23" s="23"/>
    </row>
    <row r="24" spans="1:24" ht="15.75" customHeight="1" thickBot="1" x14ac:dyDescent="0.25">
      <c r="A24" s="2"/>
      <c r="B24" s="22" t="s">
        <v>6</v>
      </c>
      <c r="C24" s="19">
        <v>50</v>
      </c>
      <c r="D24" s="19">
        <f>X29</f>
        <v>0</v>
      </c>
      <c r="E24" s="20">
        <f>Table114385062748698310[Projected Cost]-Table114385062748698310[Actual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SUBTOTAL(109,Table114385062748698310[Projected Cost])</f>
        <v>972.5</v>
      </c>
      <c r="D25" s="19">
        <f>SUBTOTAL(109,Table114385062748698310[Actual Cost])</f>
        <v>0</v>
      </c>
      <c r="E25" s="21">
        <f>SUBTOTAL(109,Table114385062748698310[Difference])</f>
        <v>972.5</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Table3214557698193105613[Projected Cost]-Table3214557698193105613[Actual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Table3214557698193105613[Projected Cost]-Table3214557698193105613[Actual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Table3214557698193105613[Projected Cost]-Table3214557698193105613[Actual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Table3214557698193105613[Projected Cost]-Table3214557698193105613[Actual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Table3214557698193105613[Projected Cost]-Table3214557698193105613[Actual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SUBTOTAL(109,Table3214557698193105613[Projected Cost])</f>
        <v>50</v>
      </c>
      <c r="D33" s="19">
        <f>SUBTOTAL(109,Table3214557698193105613[Actual Cost])</f>
        <v>0</v>
      </c>
      <c r="E33" s="21">
        <f>SUBTOTAL(109,Table3214557698193105613[Difference])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Table415395163758799411[Projected Cost]-Table415395163758799411[Actual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SUBTOTAL(109,Table415395163758799411[Projected Cost])</f>
        <v>15</v>
      </c>
      <c r="D37" s="19">
        <f>SUBTOTAL(109,Table415395163758799411[Actual Cost])</f>
        <v>0</v>
      </c>
      <c r="E37" s="21">
        <f>SUBTOTAL(109,Table415395163758799411[Difference])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500</v>
      </c>
      <c r="D40" s="19">
        <f>O53</f>
        <v>0</v>
      </c>
      <c r="E40" s="20">
        <f>Table5194355677991103512[Projected Cost]-Table5194355677991103512[Actual Cost]</f>
        <v>500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Table5194355677991103512[Projected Cost]-Table5194355677991103512[Actual Cost]</f>
        <v>100</v>
      </c>
      <c r="F41" s="67"/>
    </row>
    <row r="42" spans="1:24" ht="15.75" customHeight="1" thickBot="1" x14ac:dyDescent="0.25">
      <c r="A42" s="2"/>
      <c r="B42" s="22" t="s">
        <v>6</v>
      </c>
      <c r="C42" s="19">
        <v>0</v>
      </c>
      <c r="D42" s="19">
        <f>U49</f>
        <v>0</v>
      </c>
      <c r="E42" s="20">
        <f>Table5194355677991103512[Projected Cost]-Table5194355677991103512[Actual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SUBTOTAL(109,Table5194355677991103512[Projected Cost])</f>
        <v>600</v>
      </c>
      <c r="D43" s="19">
        <f>SUBTOTAL(109,Table5194355677991103512[Actual Cost])</f>
        <v>0</v>
      </c>
      <c r="E43" s="21">
        <f>SUBTOTAL(109,Table5194355677991103512[Difference])</f>
        <v>600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Table7244860728496108714[Projected Cost]-Table7244860728496108714[Actual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Table7244860728496108714[Projected Cost]-Table7244860728496108714[Actual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Table7244860728496108714[Projected Cost]-Table7244860728496108714[Actual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Table7244860728496108714[Projected Cost]-Table7244860728496108714[Actual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Table7244860728496108714[Projected Cost]-Table7244860728496108714[Actual Cost]</f>
        <v>20</v>
      </c>
      <c r="F50" s="67"/>
      <c r="N50" s="47"/>
      <c r="O50" s="48"/>
      <c r="P50" s="44"/>
      <c r="Q50" s="47"/>
      <c r="R50" s="48"/>
      <c r="S50" s="58"/>
      <c r="T50" s="58"/>
      <c r="U50" s="64"/>
    </row>
    <row r="51" spans="1:24" ht="15.75" customHeight="1" x14ac:dyDescent="0.2">
      <c r="A51" s="2"/>
      <c r="B51" s="16" t="s">
        <v>33</v>
      </c>
      <c r="C51" s="19">
        <f>SUBTOTAL(109,Table7244860728496108714[Projected Cost])</f>
        <v>180</v>
      </c>
      <c r="D51" s="19">
        <f>SUBTOTAL(109,Table7244860728496108714[Actual Cost])</f>
        <v>0</v>
      </c>
      <c r="E51" s="21">
        <f>SUBTOTAL(109,Table7244860728496108714[Difference])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Table2254961738597109815[Projected Cost]-Table2254961738597109815[Actual Cost]</f>
        <v>50</v>
      </c>
      <c r="F54" s="67"/>
    </row>
    <row r="55" spans="1:24" ht="15.75" customHeight="1" thickBot="1" x14ac:dyDescent="0.25">
      <c r="A55" s="2"/>
      <c r="B55" s="22" t="s">
        <v>16</v>
      </c>
      <c r="C55" s="19">
        <v>15</v>
      </c>
      <c r="D55" s="19">
        <f>O71</f>
        <v>0</v>
      </c>
      <c r="E55" s="20">
        <f>Table2254961738597109815[Projected Cost]-Table2254961738597109815[Actual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Table2254961738597109815[Projected Cost]-Table2254961738597109815[Actual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Table2254961738597109815[Projected Cost]-Table2254961738597109815[Actual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Table2254961738597109815[Projected Cost]-Table2254961738597109815[Actual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SUBTOTAL(109,Table2254961738597109815[Projected Cost])</f>
        <v>185</v>
      </c>
      <c r="D59" s="19">
        <f>SUBTOTAL(109,Table2254961738597109815[Actual Cost])</f>
        <v>0</v>
      </c>
      <c r="E59" s="21">
        <f>SUBTOTAL(109,Table2254961738597109815[Difference])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2102.5</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2102.5</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H32" sqref="H3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December Monthly Budget")</f>
        <v>-  December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500</v>
      </c>
      <c r="F4" s="5"/>
      <c r="G4" s="102" t="s">
        <v>34</v>
      </c>
      <c r="H4" s="102"/>
      <c r="I4" s="102"/>
      <c r="J4" s="102"/>
      <c r="K4" s="102"/>
      <c r="L4" s="117">
        <f>E6-E62</f>
        <v>-1602.5</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500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1602.5</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Table114385062748698291623[Projected Cost]-Table114385062748698291623[Actual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Table114385062748698291623[Projected Cost]-Table114385062748698291623[Actual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Table114385062748698291623[Projected Cost]-Table114385062748698291623[Actual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Table114385062748698291623[Projected Cost]-Table114385062748698291623[Actual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Table114385062748698291623[Projected Cost]-Table114385062748698291623[Actual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SUBTOTAL(109,Table114385062748698291623[Projected Cost])</f>
        <v>100</v>
      </c>
      <c r="D17" s="19">
        <f>SUBTOTAL(109,Table114385062748698291623[Actual Cost])</f>
        <v>0</v>
      </c>
      <c r="E17" s="21">
        <f>SUBTOTAL(109,Table114385062748698291623[Difference])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812.5</v>
      </c>
      <c r="D20" s="19">
        <f>L29</f>
        <v>0</v>
      </c>
      <c r="E20" s="20">
        <f>Table11438506274869831017[Projected Cost]-Table11438506274869831017[Actual Cost]</f>
        <v>812.5</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Table11438506274869831017[Projected Cost]-Table11438506274869831017[Actual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Table11438506274869831017[Projected Cost]-Table11438506274869831017[Actual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Table11438506274869831017[Projected Cost]-Table11438506274869831017[Actual Cost]</f>
        <v>20</v>
      </c>
      <c r="F23" s="67"/>
      <c r="H23" s="36" t="s">
        <v>33</v>
      </c>
      <c r="I23" s="30">
        <f>SUM(I13:I22)</f>
        <v>0</v>
      </c>
      <c r="J23" s="42"/>
      <c r="U23" s="23"/>
    </row>
    <row r="24" spans="1:24" ht="15.75" customHeight="1" thickBot="1" x14ac:dyDescent="0.25">
      <c r="A24" s="2"/>
      <c r="B24" s="22" t="s">
        <v>6</v>
      </c>
      <c r="C24" s="19">
        <v>50</v>
      </c>
      <c r="D24" s="19">
        <f>X29</f>
        <v>0</v>
      </c>
      <c r="E24" s="20">
        <f>Table11438506274869831017[Projected Cost]-Table11438506274869831017[Actual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SUBTOTAL(109,Table11438506274869831017[Projected Cost])</f>
        <v>972.5</v>
      </c>
      <c r="D25" s="19">
        <f>SUBTOTAL(109,Table11438506274869831017[Actual Cost])</f>
        <v>0</v>
      </c>
      <c r="E25" s="21">
        <f>SUBTOTAL(109,Table11438506274869831017[Difference])</f>
        <v>972.5</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Table321455769819310561320[Projected Cost]-Table321455769819310561320[Actual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Table321455769819310561320[Projected Cost]-Table321455769819310561320[Actual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Table321455769819310561320[Projected Cost]-Table321455769819310561320[Actual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Table321455769819310561320[Projected Cost]-Table321455769819310561320[Actual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Table321455769819310561320[Projected Cost]-Table321455769819310561320[Actual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SUBTOTAL(109,Table321455769819310561320[Projected Cost])</f>
        <v>50</v>
      </c>
      <c r="D33" s="19">
        <f>SUBTOTAL(109,Table321455769819310561320[Actual Cost])</f>
        <v>0</v>
      </c>
      <c r="E33" s="21">
        <f>SUBTOTAL(109,Table321455769819310561320[Difference])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Table41539516375879941118[Projected Cost]-Table41539516375879941118[Actual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SUBTOTAL(109,Table41539516375879941118[Projected Cost])</f>
        <v>15</v>
      </c>
      <c r="D37" s="19">
        <f>SUBTOTAL(109,Table41539516375879941118[Actual Cost])</f>
        <v>0</v>
      </c>
      <c r="E37" s="21">
        <f>SUBTOTAL(109,Table41539516375879941118[Difference])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500</v>
      </c>
      <c r="D40" s="19">
        <f>O53</f>
        <v>0</v>
      </c>
      <c r="E40" s="20">
        <f>Table519435567799110351219[Projected Cost]-Table519435567799110351219[Actual Cost]</f>
        <v>500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Table519435567799110351219[Projected Cost]-Table519435567799110351219[Actual Cost]</f>
        <v>100</v>
      </c>
      <c r="F41" s="67"/>
    </row>
    <row r="42" spans="1:24" ht="15.75" customHeight="1" thickBot="1" x14ac:dyDescent="0.25">
      <c r="A42" s="2"/>
      <c r="B42" s="22" t="s">
        <v>6</v>
      </c>
      <c r="C42" s="19">
        <v>0</v>
      </c>
      <c r="D42" s="19">
        <f>U49</f>
        <v>0</v>
      </c>
      <c r="E42" s="20">
        <f>Table519435567799110351219[Projected Cost]-Table519435567799110351219[Actual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SUBTOTAL(109,Table519435567799110351219[Projected Cost])</f>
        <v>600</v>
      </c>
      <c r="D43" s="19">
        <f>SUBTOTAL(109,Table519435567799110351219[Actual Cost])</f>
        <v>0</v>
      </c>
      <c r="E43" s="21">
        <f>SUBTOTAL(109,Table519435567799110351219[Difference])</f>
        <v>600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Table724486072849610871421[Projected Cost]-Table724486072849610871421[Actual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Table724486072849610871421[Projected Cost]-Table724486072849610871421[Actual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Table724486072849610871421[Projected Cost]-Table724486072849610871421[Actual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Table724486072849610871421[Projected Cost]-Table724486072849610871421[Actual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Table724486072849610871421[Projected Cost]-Table724486072849610871421[Actual Cost]</f>
        <v>20</v>
      </c>
      <c r="F50" s="67"/>
      <c r="N50" s="47"/>
      <c r="O50" s="48"/>
      <c r="P50" s="44"/>
      <c r="Q50" s="47"/>
      <c r="R50" s="48"/>
      <c r="S50" s="58"/>
      <c r="T50" s="58"/>
      <c r="U50" s="64"/>
    </row>
    <row r="51" spans="1:24" ht="15.75" customHeight="1" x14ac:dyDescent="0.2">
      <c r="A51" s="2"/>
      <c r="B51" s="16" t="s">
        <v>33</v>
      </c>
      <c r="C51" s="19">
        <f>SUBTOTAL(109,Table724486072849610871421[Projected Cost])</f>
        <v>180</v>
      </c>
      <c r="D51" s="19">
        <f>SUBTOTAL(109,Table724486072849610871421[Actual Cost])</f>
        <v>0</v>
      </c>
      <c r="E51" s="21">
        <f>SUBTOTAL(109,Table724486072849610871421[Difference])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Table225496173859710981522[Projected Cost]-Table225496173859710981522[Actual Cost]</f>
        <v>50</v>
      </c>
      <c r="F54" s="67"/>
    </row>
    <row r="55" spans="1:24" ht="15.75" customHeight="1" thickBot="1" x14ac:dyDescent="0.25">
      <c r="A55" s="2"/>
      <c r="B55" s="22" t="s">
        <v>16</v>
      </c>
      <c r="C55" s="19">
        <v>15</v>
      </c>
      <c r="D55" s="19">
        <f>O71</f>
        <v>0</v>
      </c>
      <c r="E55" s="20">
        <f>Table225496173859710981522[Projected Cost]-Table225496173859710981522[Actual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Table225496173859710981522[Projected Cost]-Table225496173859710981522[Actual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Table225496173859710981522[Projected Cost]-Table225496173859710981522[Actual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Table225496173859710981522[Projected Cost]-Table225496173859710981522[Actual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SUBTOTAL(109,Table225496173859710981522[Projected Cost])</f>
        <v>185</v>
      </c>
      <c r="D59" s="19">
        <f>SUBTOTAL(109,Table225496173859710981522[Actual Cost])</f>
        <v>0</v>
      </c>
      <c r="E59" s="21">
        <f>SUBTOTAL(109,Table225496173859710981522[Difference])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2102.5</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2102.5</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K12" sqref="K12:L1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January Monthly Budget")</f>
        <v>-  January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500</v>
      </c>
      <c r="F4" s="5"/>
      <c r="G4" s="102" t="s">
        <v>34</v>
      </c>
      <c r="H4" s="102"/>
      <c r="I4" s="102"/>
      <c r="J4" s="102"/>
      <c r="K4" s="102"/>
      <c r="L4" s="117">
        <f>E6-E62</f>
        <v>-6002.5</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500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6002.5</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f>Table114385062748698265[[#This Row],[Projected Cost]]/2</f>
        <v>3500</v>
      </c>
      <c r="D12" s="19">
        <f>L16</f>
        <v>0</v>
      </c>
      <c r="E12" s="20">
        <f>Table114385062748698230[Projected Cost]-Table114385062748698230[Actual Cost]</f>
        <v>3500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100</v>
      </c>
      <c r="D13" s="19">
        <f>O16</f>
        <v>0</v>
      </c>
      <c r="E13" s="20">
        <f>Table114385062748698230[Projected Cost]-Table114385062748698230[Actual Cost]</f>
        <v>100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750</v>
      </c>
      <c r="D14" s="19">
        <f>R22</f>
        <v>0</v>
      </c>
      <c r="E14" s="20">
        <f>Table114385062748698230[Projected Cost]-Table114385062748698230[Actual Cost]</f>
        <v>750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100</v>
      </c>
      <c r="D15" s="19">
        <f>U22</f>
        <v>0</v>
      </c>
      <c r="E15" s="20">
        <f>Table114385062748698230[Projected Cost]-Table114385062748698230[Actual Cost]</f>
        <v>100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Table114385062748698230[Projected Cost]-Table114385062748698230[Actual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SUBTOTAL(109,Table114385062748698230[Projected Cost])</f>
        <v>4500</v>
      </c>
      <c r="D17" s="19">
        <f>SUBTOTAL(109,Table114385062748698230[Actual Cost])</f>
        <v>0</v>
      </c>
      <c r="E17" s="21">
        <f>SUBTOTAL(109,Table114385062748698230[Difference])</f>
        <v>4500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812.5</v>
      </c>
      <c r="D20" s="19">
        <f>L29</f>
        <v>0</v>
      </c>
      <c r="E20" s="20">
        <f>Table11438506274869824[Projected Cost]-Table11438506274869824[Actual Cost]</f>
        <v>812.5</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Table11438506274869824[Projected Cost]-Table11438506274869824[Actual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Table11438506274869824[Projected Cost]-Table11438506274869824[Actual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Table11438506274869824[Projected Cost]-Table11438506274869824[Actual Cost]</f>
        <v>20</v>
      </c>
      <c r="F23" s="67"/>
      <c r="H23" s="36" t="s">
        <v>33</v>
      </c>
      <c r="I23" s="30">
        <f>SUM(I13:I22)</f>
        <v>0</v>
      </c>
      <c r="J23" s="42"/>
      <c r="U23" s="23"/>
    </row>
    <row r="24" spans="1:24" ht="15.75" customHeight="1" thickBot="1" x14ac:dyDescent="0.25">
      <c r="A24" s="2"/>
      <c r="B24" s="22" t="s">
        <v>6</v>
      </c>
      <c r="C24" s="19">
        <v>50</v>
      </c>
      <c r="D24" s="19">
        <f>X29</f>
        <v>0</v>
      </c>
      <c r="E24" s="20">
        <f>Table11438506274869824[Projected Cost]-Table11438506274869824[Actual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SUBTOTAL(109,Table11438506274869824[Projected Cost])</f>
        <v>972.5</v>
      </c>
      <c r="D25" s="19">
        <f>SUBTOTAL(109,Table11438506274869824[Actual Cost])</f>
        <v>0</v>
      </c>
      <c r="E25" s="21">
        <f>SUBTOTAL(109,Table11438506274869824[Difference])</f>
        <v>972.5</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Table321455769819310527[Projected Cost]-Table321455769819310527[Actual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Table321455769819310527[Projected Cost]-Table321455769819310527[Actual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Table321455769819310527[Projected Cost]-Table321455769819310527[Actual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Table321455769819310527[Projected Cost]-Table321455769819310527[Actual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Table321455769819310527[Projected Cost]-Table321455769819310527[Actual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SUBTOTAL(109,Table321455769819310527[Projected Cost])</f>
        <v>50</v>
      </c>
      <c r="D33" s="19">
        <f>SUBTOTAL(109,Table321455769819310527[Actual Cost])</f>
        <v>0</v>
      </c>
      <c r="E33" s="21">
        <f>SUBTOTAL(109,Table321455769819310527[Difference])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Table41539516375879925[Projected Cost]-Table41539516375879925[Actual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SUBTOTAL(109,Table41539516375879925[Projected Cost])</f>
        <v>15</v>
      </c>
      <c r="D37" s="19">
        <f>SUBTOTAL(109,Table41539516375879925[Actual Cost])</f>
        <v>0</v>
      </c>
      <c r="E37" s="21">
        <f>SUBTOTAL(109,Table41539516375879925[Difference])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500</v>
      </c>
      <c r="D40" s="19">
        <f>O53</f>
        <v>0</v>
      </c>
      <c r="E40" s="20">
        <f>Table519435567799110326[Projected Cost]-Table519435567799110326[Actual Cost]</f>
        <v>500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Table519435567799110326[Projected Cost]-Table519435567799110326[Actual Cost]</f>
        <v>100</v>
      </c>
      <c r="F41" s="67"/>
    </row>
    <row r="42" spans="1:24" ht="15.75" customHeight="1" thickBot="1" x14ac:dyDescent="0.25">
      <c r="A42" s="2"/>
      <c r="B42" s="22" t="s">
        <v>6</v>
      </c>
      <c r="C42" s="19">
        <v>0</v>
      </c>
      <c r="D42" s="19">
        <f>U49</f>
        <v>0</v>
      </c>
      <c r="E42" s="20">
        <f>Table519435567799110326[Projected Cost]-Table519435567799110326[Actual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SUBTOTAL(109,Table519435567799110326[Projected Cost])</f>
        <v>600</v>
      </c>
      <c r="D43" s="19">
        <f>SUBTOTAL(109,Table519435567799110326[Actual Cost])</f>
        <v>0</v>
      </c>
      <c r="E43" s="21">
        <f>SUBTOTAL(109,Table519435567799110326[Difference])</f>
        <v>600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Table724486072849610828[Projected Cost]-Table724486072849610828[Actual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Table724486072849610828[Projected Cost]-Table724486072849610828[Actual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Table724486072849610828[Projected Cost]-Table724486072849610828[Actual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Table724486072849610828[Projected Cost]-Table724486072849610828[Actual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Table724486072849610828[Projected Cost]-Table724486072849610828[Actual Cost]</f>
        <v>20</v>
      </c>
      <c r="F50" s="67"/>
      <c r="N50" s="47"/>
      <c r="O50" s="48"/>
      <c r="P50" s="44"/>
      <c r="Q50" s="47"/>
      <c r="R50" s="48"/>
      <c r="S50" s="58"/>
      <c r="T50" s="58"/>
      <c r="U50" s="64"/>
    </row>
    <row r="51" spans="1:24" ht="15.75" customHeight="1" x14ac:dyDescent="0.2">
      <c r="A51" s="2"/>
      <c r="B51" s="16" t="s">
        <v>33</v>
      </c>
      <c r="C51" s="19">
        <f>SUBTOTAL(109,Table724486072849610828[Projected Cost])</f>
        <v>180</v>
      </c>
      <c r="D51" s="19">
        <f>SUBTOTAL(109,Table724486072849610828[Actual Cost])</f>
        <v>0</v>
      </c>
      <c r="E51" s="21">
        <f>SUBTOTAL(109,Table724486072849610828[Difference])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Table225496173859710929[Projected Cost]-Table225496173859710929[Actual Cost]</f>
        <v>50</v>
      </c>
      <c r="F54" s="67"/>
    </row>
    <row r="55" spans="1:24" ht="15.75" customHeight="1" thickBot="1" x14ac:dyDescent="0.25">
      <c r="A55" s="2"/>
      <c r="B55" s="22" t="s">
        <v>16</v>
      </c>
      <c r="C55" s="19">
        <v>15</v>
      </c>
      <c r="D55" s="19">
        <f>O71</f>
        <v>0</v>
      </c>
      <c r="E55" s="20">
        <f>Table225496173859710929[Projected Cost]-Table225496173859710929[Actual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Table225496173859710929[Projected Cost]-Table225496173859710929[Actual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Table225496173859710929[Projected Cost]-Table225496173859710929[Actual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Table225496173859710929[Projected Cost]-Table225496173859710929[Actual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SUBTOTAL(109,Table225496173859710929[Projected Cost])</f>
        <v>185</v>
      </c>
      <c r="D59" s="19">
        <f>SUBTOTAL(109,Table225496173859710929[Actual Cost])</f>
        <v>0</v>
      </c>
      <c r="E59" s="21">
        <f>SUBTOTAL(109,Table225496173859710929[Difference])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6502.5</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6502.5</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K12" sqref="K12:L1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February Monthly Budget")</f>
        <v>-  February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500</v>
      </c>
      <c r="F4" s="5"/>
      <c r="G4" s="102" t="s">
        <v>34</v>
      </c>
      <c r="H4" s="102"/>
      <c r="I4" s="102"/>
      <c r="J4" s="102"/>
      <c r="K4" s="102"/>
      <c r="L4" s="117">
        <f>E6-E62</f>
        <v>-1602.5</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500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1602.5</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Table11438506274869829162337[Projected Cost]-Table11438506274869829162337[Actual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Table11438506274869829162337[Projected Cost]-Table11438506274869829162337[Actual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Table11438506274869829162337[Projected Cost]-Table11438506274869829162337[Actual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Table11438506274869829162337[Projected Cost]-Table11438506274869829162337[Actual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Table11438506274869829162337[Projected Cost]-Table11438506274869829162337[Actual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SUBTOTAL(109,Table11438506274869829162337[Projected Cost])</f>
        <v>100</v>
      </c>
      <c r="D17" s="19">
        <f>SUBTOTAL(109,Table11438506274869829162337[Actual Cost])</f>
        <v>0</v>
      </c>
      <c r="E17" s="21">
        <f>SUBTOTAL(109,Table11438506274869829162337[Difference])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812.5</v>
      </c>
      <c r="D20" s="19">
        <f>L29</f>
        <v>0</v>
      </c>
      <c r="E20" s="20">
        <f>Table1143850627486983101731[Projected Cost]-Table1143850627486983101731[Actual Cost]</f>
        <v>812.5</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Table1143850627486983101731[Projected Cost]-Table1143850627486983101731[Actual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Table1143850627486983101731[Projected Cost]-Table1143850627486983101731[Actual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Table1143850627486983101731[Projected Cost]-Table1143850627486983101731[Actual Cost]</f>
        <v>20</v>
      </c>
      <c r="F23" s="67"/>
      <c r="H23" s="36" t="s">
        <v>33</v>
      </c>
      <c r="I23" s="30">
        <f>SUM(I13:I22)</f>
        <v>0</v>
      </c>
      <c r="J23" s="42"/>
      <c r="U23" s="23"/>
    </row>
    <row r="24" spans="1:24" ht="15.75" customHeight="1" thickBot="1" x14ac:dyDescent="0.25">
      <c r="A24" s="2"/>
      <c r="B24" s="22" t="s">
        <v>6</v>
      </c>
      <c r="C24" s="19">
        <v>50</v>
      </c>
      <c r="D24" s="19">
        <f>X29</f>
        <v>0</v>
      </c>
      <c r="E24" s="20">
        <f>Table1143850627486983101731[Projected Cost]-Table1143850627486983101731[Actual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SUBTOTAL(109,Table1143850627486983101731[Projected Cost])</f>
        <v>972.5</v>
      </c>
      <c r="D25" s="19">
        <f>SUBTOTAL(109,Table1143850627486983101731[Actual Cost])</f>
        <v>0</v>
      </c>
      <c r="E25" s="21">
        <f>SUBTOTAL(109,Table1143850627486983101731[Difference])</f>
        <v>972.5</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Table32145576981931056132034[Projected Cost]-Table32145576981931056132034[Actual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Table32145576981931056132034[Projected Cost]-Table32145576981931056132034[Actual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Table32145576981931056132034[Projected Cost]-Table32145576981931056132034[Actual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Table32145576981931056132034[Projected Cost]-Table32145576981931056132034[Actual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Table32145576981931056132034[Projected Cost]-Table32145576981931056132034[Actual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SUBTOTAL(109,Table32145576981931056132034[Projected Cost])</f>
        <v>50</v>
      </c>
      <c r="D33" s="19">
        <f>SUBTOTAL(109,Table32145576981931056132034[Actual Cost])</f>
        <v>0</v>
      </c>
      <c r="E33" s="21">
        <f>SUBTOTAL(109,Table32145576981931056132034[Difference])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Table4153951637587994111832[Projected Cost]-Table4153951637587994111832[Actual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SUBTOTAL(109,Table4153951637587994111832[Projected Cost])</f>
        <v>15</v>
      </c>
      <c r="D37" s="19">
        <f>SUBTOTAL(109,Table4153951637587994111832[Actual Cost])</f>
        <v>0</v>
      </c>
      <c r="E37" s="21">
        <f>SUBTOTAL(109,Table4153951637587994111832[Difference])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500</v>
      </c>
      <c r="D40" s="19">
        <f>O53</f>
        <v>0</v>
      </c>
      <c r="E40" s="20">
        <f>Table51943556779911035121933[Projected Cost]-Table51943556779911035121933[Actual Cost]</f>
        <v>500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Table51943556779911035121933[Projected Cost]-Table51943556779911035121933[Actual Cost]</f>
        <v>100</v>
      </c>
      <c r="F41" s="67"/>
    </row>
    <row r="42" spans="1:24" ht="15.75" customHeight="1" thickBot="1" x14ac:dyDescent="0.25">
      <c r="A42" s="2"/>
      <c r="B42" s="22" t="s">
        <v>6</v>
      </c>
      <c r="C42" s="19">
        <v>0</v>
      </c>
      <c r="D42" s="19">
        <f>U49</f>
        <v>0</v>
      </c>
      <c r="E42" s="20">
        <f>Table51943556779911035121933[Projected Cost]-Table51943556779911035121933[Actual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SUBTOTAL(109,Table51943556779911035121933[Projected Cost])</f>
        <v>600</v>
      </c>
      <c r="D43" s="19">
        <f>SUBTOTAL(109,Table51943556779911035121933[Actual Cost])</f>
        <v>0</v>
      </c>
      <c r="E43" s="21">
        <f>SUBTOTAL(109,Table51943556779911035121933[Difference])</f>
        <v>600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Table72448607284961087142135[Projected Cost]-Table72448607284961087142135[Actual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Table72448607284961087142135[Projected Cost]-Table72448607284961087142135[Actual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Table72448607284961087142135[Projected Cost]-Table72448607284961087142135[Actual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Table72448607284961087142135[Projected Cost]-Table72448607284961087142135[Actual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Table72448607284961087142135[Projected Cost]-Table72448607284961087142135[Actual Cost]</f>
        <v>20</v>
      </c>
      <c r="F50" s="67"/>
      <c r="N50" s="47"/>
      <c r="O50" s="48"/>
      <c r="P50" s="44"/>
      <c r="Q50" s="47"/>
      <c r="R50" s="48"/>
      <c r="S50" s="58"/>
      <c r="T50" s="58"/>
      <c r="U50" s="64"/>
    </row>
    <row r="51" spans="1:24" ht="15.75" customHeight="1" x14ac:dyDescent="0.2">
      <c r="A51" s="2"/>
      <c r="B51" s="16" t="s">
        <v>33</v>
      </c>
      <c r="C51" s="19">
        <f>SUBTOTAL(109,Table72448607284961087142135[Projected Cost])</f>
        <v>180</v>
      </c>
      <c r="D51" s="19">
        <f>SUBTOTAL(109,Table72448607284961087142135[Actual Cost])</f>
        <v>0</v>
      </c>
      <c r="E51" s="21">
        <f>SUBTOTAL(109,Table72448607284961087142135[Difference])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Table22549617385971098152236[Projected Cost]-Table22549617385971098152236[Actual Cost]</f>
        <v>50</v>
      </c>
      <c r="F54" s="67"/>
    </row>
    <row r="55" spans="1:24" ht="15.75" customHeight="1" thickBot="1" x14ac:dyDescent="0.25">
      <c r="A55" s="2"/>
      <c r="B55" s="22" t="s">
        <v>16</v>
      </c>
      <c r="C55" s="19">
        <v>15</v>
      </c>
      <c r="D55" s="19">
        <f>O71</f>
        <v>0</v>
      </c>
      <c r="E55" s="20">
        <f>Table22549617385971098152236[Projected Cost]-Table22549617385971098152236[Actual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Table22549617385971098152236[Projected Cost]-Table22549617385971098152236[Actual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Table22549617385971098152236[Projected Cost]-Table22549617385971098152236[Actual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Table22549617385971098152236[Projected Cost]-Table22549617385971098152236[Actual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SUBTOTAL(109,Table22549617385971098152236[Projected Cost])</f>
        <v>185</v>
      </c>
      <c r="D59" s="19">
        <f>SUBTOTAL(109,Table22549617385971098152236[Actual Cost])</f>
        <v>0</v>
      </c>
      <c r="E59" s="21">
        <f>SUBTOTAL(109,Table22549617385971098152236[Difference])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2102.5</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2102.5</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5"/>
  <sheetViews>
    <sheetView showGridLines="0" workbookViewId="0">
      <pane ySplit="2" topLeftCell="A3" activePane="bottomLeft" state="frozen"/>
      <selection pane="bottomLeft" activeCell="K12" sqref="K12:L12"/>
    </sheetView>
  </sheetViews>
  <sheetFormatPr defaultColWidth="8.7109375" defaultRowHeight="12.75" x14ac:dyDescent="0.2"/>
  <cols>
    <col min="1" max="1" width="1.5703125" customWidth="1"/>
    <col min="2" max="2" width="32.28515625" customWidth="1"/>
    <col min="3" max="3" width="16.42578125" customWidth="1"/>
    <col min="4" max="4" width="13.42578125" customWidth="1"/>
    <col min="5" max="5" width="12.42578125" customWidth="1"/>
    <col min="6" max="6" width="2" customWidth="1"/>
    <col min="7" max="7" width="5.7109375" customWidth="1"/>
    <col min="8" max="8" width="11.42578125" bestFit="1" customWidth="1"/>
    <col min="9" max="9" width="7.42578125" bestFit="1" customWidth="1"/>
    <col min="10" max="10" width="6.5703125" customWidth="1"/>
    <col min="11" max="11" width="13.42578125" customWidth="1"/>
    <col min="12" max="12" width="12.42578125" customWidth="1"/>
    <col min="13" max="13" width="3.28515625" customWidth="1"/>
    <col min="14" max="14" width="11.5703125" bestFit="1" customWidth="1"/>
    <col min="15" max="15" width="7.42578125" bestFit="1" customWidth="1"/>
    <col min="16" max="16" width="2.7109375" customWidth="1"/>
    <col min="17" max="17" width="9.5703125" bestFit="1" customWidth="1"/>
    <col min="18" max="18" width="7.42578125" bestFit="1" customWidth="1"/>
    <col min="19" max="19" width="4.28515625" customWidth="1"/>
    <col min="20" max="20" width="11.42578125" bestFit="1" customWidth="1"/>
    <col min="21" max="21" width="7.42578125" bestFit="1" customWidth="1"/>
    <col min="22" max="22" width="3.7109375" customWidth="1"/>
    <col min="23" max="23" width="14.5703125" bestFit="1" customWidth="1"/>
    <col min="24" max="24" width="7.42578125" bestFit="1" customWidth="1"/>
  </cols>
  <sheetData>
    <row r="1" spans="1:32" ht="8.25" customHeight="1" x14ac:dyDescent="0.6">
      <c r="A1" s="3"/>
      <c r="B1" s="1"/>
      <c r="C1" s="1"/>
      <c r="D1" s="1"/>
      <c r="E1" s="1"/>
      <c r="F1" s="1"/>
      <c r="G1" s="1"/>
      <c r="H1" s="1"/>
      <c r="I1" s="1"/>
      <c r="J1" s="1"/>
      <c r="K1" s="1"/>
      <c r="L1" s="2"/>
    </row>
    <row r="2" spans="1:32" ht="52.15" customHeight="1" x14ac:dyDescent="0.2">
      <c r="A2" s="3"/>
      <c r="B2" s="35"/>
      <c r="C2" s="69" t="str">
        <f>("-  March Monthly Budget")</f>
        <v>-  March Monthly Budget</v>
      </c>
      <c r="E2" s="35"/>
      <c r="F2" s="35"/>
      <c r="G2" s="35"/>
      <c r="H2" s="35"/>
      <c r="I2" s="35"/>
      <c r="J2" s="35"/>
      <c r="K2" s="35"/>
      <c r="L2" s="35"/>
    </row>
    <row r="3" spans="1:32" ht="8.25" customHeight="1" x14ac:dyDescent="0.2">
      <c r="A3" s="2"/>
      <c r="B3" s="98"/>
      <c r="C3" s="98"/>
      <c r="D3" s="98"/>
      <c r="E3" s="4"/>
      <c r="F3" s="5"/>
      <c r="G3" s="4"/>
      <c r="H3" s="6"/>
      <c r="I3" s="6"/>
      <c r="J3" s="6"/>
      <c r="K3" s="7"/>
      <c r="L3" s="8"/>
    </row>
    <row r="4" spans="1:32" ht="16.149999999999999" customHeight="1" x14ac:dyDescent="0.2">
      <c r="A4" s="2"/>
      <c r="B4" s="114" t="s">
        <v>29</v>
      </c>
      <c r="C4" s="105" t="s">
        <v>3</v>
      </c>
      <c r="D4" s="106"/>
      <c r="E4" s="15">
        <f>'Starting Page'!I31</f>
        <v>500</v>
      </c>
      <c r="F4" s="5"/>
      <c r="G4" s="102" t="s">
        <v>34</v>
      </c>
      <c r="H4" s="102"/>
      <c r="I4" s="102"/>
      <c r="J4" s="102"/>
      <c r="K4" s="102"/>
      <c r="L4" s="117">
        <f>E6-E62</f>
        <v>-1602.5</v>
      </c>
      <c r="Y4" s="23"/>
      <c r="Z4" s="23"/>
      <c r="AA4" s="23"/>
      <c r="AB4" s="23"/>
      <c r="AC4" s="23"/>
      <c r="AD4" s="23"/>
      <c r="AE4" s="23"/>
      <c r="AF4" s="23"/>
    </row>
    <row r="5" spans="1:32" ht="16.149999999999999" customHeight="1" x14ac:dyDescent="0.2">
      <c r="A5" s="2"/>
      <c r="B5" s="115"/>
      <c r="C5" s="105" t="s">
        <v>18</v>
      </c>
      <c r="D5" s="106"/>
      <c r="E5" s="15"/>
      <c r="F5" s="5"/>
      <c r="G5" s="102"/>
      <c r="H5" s="102"/>
      <c r="I5" s="102"/>
      <c r="J5" s="102"/>
      <c r="K5" s="102"/>
      <c r="L5" s="117"/>
      <c r="Q5" s="99"/>
      <c r="R5" s="99"/>
      <c r="S5" s="44"/>
      <c r="T5" s="99"/>
      <c r="U5" s="99"/>
      <c r="V5" s="44"/>
      <c r="W5" s="99"/>
      <c r="X5" s="99"/>
      <c r="Y5" s="44"/>
      <c r="Z5" s="23"/>
      <c r="AA5" s="23"/>
      <c r="AB5" s="23"/>
      <c r="AC5" s="23"/>
      <c r="AD5" s="23"/>
      <c r="AE5" s="23"/>
      <c r="AF5" s="23"/>
    </row>
    <row r="6" spans="1:32" ht="16.149999999999999" customHeight="1" x14ac:dyDescent="0.2">
      <c r="A6" s="2"/>
      <c r="B6" s="116"/>
      <c r="C6" s="100" t="s">
        <v>19</v>
      </c>
      <c r="D6" s="101"/>
      <c r="E6" s="66">
        <f>SUM(E4:E5)</f>
        <v>500</v>
      </c>
      <c r="F6" s="5"/>
      <c r="G6" s="102" t="s">
        <v>35</v>
      </c>
      <c r="H6" s="102"/>
      <c r="I6" s="102"/>
      <c r="J6" s="102"/>
      <c r="K6" s="102"/>
      <c r="L6" s="117">
        <f>E9-E64</f>
        <v>0</v>
      </c>
      <c r="Q6" s="44"/>
      <c r="R6" s="44"/>
      <c r="S6" s="44"/>
      <c r="T6" s="44"/>
      <c r="U6" s="44"/>
      <c r="V6" s="44"/>
      <c r="W6" s="44"/>
      <c r="X6" s="44"/>
      <c r="Y6" s="44"/>
      <c r="Z6" s="23"/>
      <c r="AA6" s="23"/>
      <c r="AB6" s="23"/>
      <c r="AC6" s="23"/>
      <c r="AD6" s="23"/>
      <c r="AE6" s="23"/>
      <c r="AF6" s="23"/>
    </row>
    <row r="7" spans="1:32" ht="16.149999999999999" customHeight="1" x14ac:dyDescent="0.2">
      <c r="A7" s="2"/>
      <c r="B7" s="114" t="s">
        <v>28</v>
      </c>
      <c r="C7" s="105" t="s">
        <v>3</v>
      </c>
      <c r="D7" s="106"/>
      <c r="E7" s="15">
        <f>I23</f>
        <v>0</v>
      </c>
      <c r="F7" s="5"/>
      <c r="G7" s="102"/>
      <c r="H7" s="102"/>
      <c r="I7" s="102"/>
      <c r="J7" s="102"/>
      <c r="K7" s="102"/>
      <c r="L7" s="117"/>
      <c r="P7" s="34"/>
      <c r="Q7" s="44"/>
      <c r="R7" s="44"/>
      <c r="S7" s="44"/>
      <c r="T7" s="44"/>
      <c r="U7" s="44"/>
      <c r="V7" s="44"/>
      <c r="W7" s="44"/>
      <c r="X7" s="44"/>
      <c r="Y7" s="44"/>
    </row>
    <row r="8" spans="1:32" ht="16.149999999999999" customHeight="1" x14ac:dyDescent="0.2">
      <c r="A8" s="2"/>
      <c r="B8" s="115"/>
      <c r="C8" s="105" t="s">
        <v>18</v>
      </c>
      <c r="D8" s="106"/>
      <c r="E8" s="15"/>
      <c r="F8" s="5"/>
      <c r="G8" s="102" t="s">
        <v>36</v>
      </c>
      <c r="H8" s="102"/>
      <c r="I8" s="102"/>
      <c r="J8" s="102"/>
      <c r="K8" s="102"/>
      <c r="L8" s="117">
        <f>L6-L4</f>
        <v>1602.5</v>
      </c>
      <c r="Q8" s="44"/>
      <c r="R8" s="44"/>
      <c r="S8" s="44"/>
      <c r="T8" s="44"/>
      <c r="U8" s="44"/>
      <c r="V8" s="44"/>
      <c r="W8" s="44"/>
      <c r="X8" s="44"/>
      <c r="Y8" s="44"/>
    </row>
    <row r="9" spans="1:32" ht="16.149999999999999" customHeight="1" x14ac:dyDescent="0.2">
      <c r="A9" s="2"/>
      <c r="B9" s="116"/>
      <c r="C9" s="100" t="s">
        <v>19</v>
      </c>
      <c r="D9" s="101"/>
      <c r="E9" s="66">
        <f>SUM(E7:E8)</f>
        <v>0</v>
      </c>
      <c r="F9" s="5"/>
      <c r="G9" s="102"/>
      <c r="H9" s="102"/>
      <c r="I9" s="102"/>
      <c r="J9" s="102"/>
      <c r="K9" s="102"/>
      <c r="L9" s="117"/>
      <c r="Q9" s="60"/>
      <c r="R9" s="61"/>
      <c r="S9" s="44"/>
      <c r="T9" s="60"/>
      <c r="U9" s="61"/>
      <c r="V9" s="44"/>
      <c r="W9" s="60"/>
      <c r="X9" s="61"/>
      <c r="Y9" s="44"/>
    </row>
    <row r="10" spans="1:32" ht="16.149999999999999" customHeight="1" thickBot="1" x14ac:dyDescent="0.25">
      <c r="A10" s="2"/>
      <c r="B10" s="68"/>
      <c r="C10" s="68"/>
      <c r="D10" s="9"/>
      <c r="E10" s="10"/>
      <c r="F10" s="5"/>
      <c r="G10" s="11"/>
      <c r="H10" s="11"/>
      <c r="I10" s="11"/>
      <c r="J10" s="11"/>
      <c r="K10" s="11"/>
      <c r="L10" s="12"/>
      <c r="R10" s="23"/>
    </row>
    <row r="11" spans="1:32" ht="16.149999999999999" customHeight="1" thickBot="1" x14ac:dyDescent="0.25">
      <c r="A11" s="2"/>
      <c r="B11" s="16" t="s">
        <v>80</v>
      </c>
      <c r="C11" s="17" t="s">
        <v>0</v>
      </c>
      <c r="D11" s="17" t="s">
        <v>1</v>
      </c>
      <c r="E11" s="18" t="s">
        <v>2</v>
      </c>
      <c r="F11" s="5"/>
      <c r="G11" s="11"/>
      <c r="H11" s="92" t="s">
        <v>42</v>
      </c>
      <c r="I11" s="94"/>
      <c r="J11" s="11"/>
      <c r="K11" s="139" t="s">
        <v>104</v>
      </c>
      <c r="L11" s="140"/>
      <c r="M11" s="140"/>
      <c r="N11" s="140"/>
      <c r="O11" s="140"/>
      <c r="P11" s="140"/>
      <c r="Q11" s="140"/>
      <c r="R11" s="140"/>
      <c r="S11" s="140"/>
      <c r="T11" s="140"/>
      <c r="U11" s="140"/>
      <c r="V11" s="140"/>
      <c r="W11" s="140"/>
      <c r="X11" s="141"/>
    </row>
    <row r="12" spans="1:32" ht="16.149999999999999" customHeight="1" thickBot="1" x14ac:dyDescent="0.25">
      <c r="A12" s="2"/>
      <c r="B12" s="22" t="s">
        <v>50</v>
      </c>
      <c r="C12" s="19">
        <v>0</v>
      </c>
      <c r="D12" s="19">
        <f>L16</f>
        <v>0</v>
      </c>
      <c r="E12" s="20">
        <f>Table1143850627486982916233744[Projected Cost]-Table1143850627486982916233744[Actual Cost]</f>
        <v>0</v>
      </c>
      <c r="F12" s="5"/>
      <c r="H12" s="24" t="s">
        <v>38</v>
      </c>
      <c r="I12" s="25" t="s">
        <v>46</v>
      </c>
      <c r="J12" s="41"/>
      <c r="K12" s="148" t="s">
        <v>50</v>
      </c>
      <c r="L12" s="149"/>
      <c r="M12" s="44"/>
      <c r="N12" s="148" t="s">
        <v>51</v>
      </c>
      <c r="O12" s="149"/>
      <c r="P12" s="44"/>
      <c r="Q12" s="150" t="s">
        <v>54</v>
      </c>
      <c r="R12" s="151"/>
      <c r="S12" s="44"/>
      <c r="T12" s="148" t="s">
        <v>5</v>
      </c>
      <c r="U12" s="149"/>
      <c r="V12" s="44"/>
      <c r="W12" s="148" t="s">
        <v>6</v>
      </c>
      <c r="X12" s="149"/>
    </row>
    <row r="13" spans="1:32" ht="16.149999999999999" customHeight="1" thickBot="1" x14ac:dyDescent="0.25">
      <c r="A13" s="2"/>
      <c r="B13" s="22" t="s">
        <v>51</v>
      </c>
      <c r="C13" s="19">
        <v>0</v>
      </c>
      <c r="D13" s="19">
        <f>O16</f>
        <v>0</v>
      </c>
      <c r="E13" s="20">
        <f>Table1143850627486982916233744[Projected Cost]-Table1143850627486982916233744[Actual Cost]</f>
        <v>0</v>
      </c>
      <c r="F13" s="5"/>
      <c r="H13" s="26" t="s">
        <v>44</v>
      </c>
      <c r="I13" s="27"/>
      <c r="J13" s="42"/>
      <c r="K13" s="45" t="s">
        <v>38</v>
      </c>
      <c r="L13" s="46" t="s">
        <v>46</v>
      </c>
      <c r="M13" s="44"/>
      <c r="N13" s="45" t="s">
        <v>38</v>
      </c>
      <c r="O13" s="46" t="s">
        <v>46</v>
      </c>
      <c r="P13" s="44"/>
      <c r="Q13" s="45" t="s">
        <v>38</v>
      </c>
      <c r="R13" s="46" t="s">
        <v>46</v>
      </c>
      <c r="S13" s="44"/>
      <c r="T13" s="45" t="s">
        <v>38</v>
      </c>
      <c r="U13" s="46" t="s">
        <v>46</v>
      </c>
      <c r="V13" s="44"/>
      <c r="W13" s="45" t="s">
        <v>38</v>
      </c>
      <c r="X13" s="46" t="s">
        <v>46</v>
      </c>
    </row>
    <row r="14" spans="1:32" ht="16.149999999999999" customHeight="1" x14ac:dyDescent="0.2">
      <c r="A14" s="2"/>
      <c r="B14" s="22" t="s">
        <v>52</v>
      </c>
      <c r="C14" s="19">
        <v>0</v>
      </c>
      <c r="D14" s="19">
        <f>R22</f>
        <v>0</v>
      </c>
      <c r="E14" s="20">
        <f>Table1143850627486982916233744[Projected Cost]-Table1143850627486982916233744[Actual Cost]</f>
        <v>0</v>
      </c>
      <c r="F14" s="5"/>
      <c r="H14" s="26"/>
      <c r="I14" s="27"/>
      <c r="J14" s="42"/>
      <c r="K14" s="47" t="s">
        <v>53</v>
      </c>
      <c r="L14" s="48"/>
      <c r="M14" s="44"/>
      <c r="N14" s="47" t="s">
        <v>56</v>
      </c>
      <c r="O14" s="48"/>
      <c r="P14" s="44"/>
      <c r="Q14" s="47" t="s">
        <v>55</v>
      </c>
      <c r="R14" s="48"/>
      <c r="S14" s="44"/>
      <c r="T14" s="47" t="s">
        <v>57</v>
      </c>
      <c r="U14" s="48"/>
      <c r="V14" s="44"/>
      <c r="W14" s="47"/>
      <c r="X14" s="48"/>
    </row>
    <row r="15" spans="1:32" ht="16.149999999999999" customHeight="1" thickBot="1" x14ac:dyDescent="0.25">
      <c r="A15" s="2"/>
      <c r="B15" s="22" t="s">
        <v>5</v>
      </c>
      <c r="C15" s="19">
        <v>50</v>
      </c>
      <c r="D15" s="19">
        <f>U22</f>
        <v>0</v>
      </c>
      <c r="E15" s="20">
        <f>Table1143850627486982916233744[Projected Cost]-Table1143850627486982916233744[Actual Cost]</f>
        <v>50</v>
      </c>
      <c r="F15" s="5"/>
      <c r="H15" s="26"/>
      <c r="I15" s="27"/>
      <c r="J15" s="42"/>
      <c r="K15" s="47"/>
      <c r="L15" s="48"/>
      <c r="M15" s="44"/>
      <c r="N15" s="47"/>
      <c r="O15" s="48"/>
      <c r="P15" s="44"/>
      <c r="Q15" s="47"/>
      <c r="R15" s="48"/>
      <c r="S15" s="44"/>
      <c r="T15" s="47"/>
      <c r="U15" s="48"/>
      <c r="V15" s="44"/>
      <c r="W15" s="47"/>
      <c r="X15" s="48"/>
    </row>
    <row r="16" spans="1:32" ht="16.149999999999999" customHeight="1" thickBot="1" x14ac:dyDescent="0.25">
      <c r="A16" s="2"/>
      <c r="B16" s="22" t="s">
        <v>6</v>
      </c>
      <c r="C16" s="19">
        <v>50</v>
      </c>
      <c r="D16" s="19">
        <f>X18</f>
        <v>0</v>
      </c>
      <c r="E16" s="20">
        <f>Table1143850627486982916233744[Projected Cost]-Table1143850627486982916233744[Actual Cost]</f>
        <v>50</v>
      </c>
      <c r="F16" s="5"/>
      <c r="H16" s="26"/>
      <c r="I16" s="27"/>
      <c r="J16" s="42"/>
      <c r="K16" s="49" t="s">
        <v>33</v>
      </c>
      <c r="L16" s="50">
        <f>SUM(L14:L15)</f>
        <v>0</v>
      </c>
      <c r="M16" s="44"/>
      <c r="N16" s="49" t="s">
        <v>33</v>
      </c>
      <c r="O16" s="50">
        <f>SUM(O14:O15)</f>
        <v>0</v>
      </c>
      <c r="P16" s="44"/>
      <c r="Q16" s="47"/>
      <c r="R16" s="48"/>
      <c r="S16" s="44"/>
      <c r="T16" s="47"/>
      <c r="U16" s="48"/>
      <c r="V16" s="44"/>
      <c r="W16" s="47"/>
      <c r="X16" s="48"/>
    </row>
    <row r="17" spans="1:24" ht="16.149999999999999" customHeight="1" thickBot="1" x14ac:dyDescent="0.25">
      <c r="A17" s="2"/>
      <c r="B17" s="16" t="s">
        <v>33</v>
      </c>
      <c r="C17" s="19">
        <f>SUBTOTAL(109,Table1143850627486982916233744[Projected Cost])</f>
        <v>100</v>
      </c>
      <c r="D17" s="19">
        <f>SUBTOTAL(109,Table1143850627486982916233744[Actual Cost])</f>
        <v>0</v>
      </c>
      <c r="E17" s="21">
        <f>SUBTOTAL(109,Table1143850627486982916233744[Difference])</f>
        <v>100</v>
      </c>
      <c r="F17" s="5"/>
      <c r="H17" s="28"/>
      <c r="I17" s="29"/>
      <c r="J17" s="42"/>
      <c r="K17" s="51"/>
      <c r="L17" s="44"/>
      <c r="M17" s="44"/>
      <c r="N17" s="44"/>
      <c r="O17" s="44"/>
      <c r="P17" s="44"/>
      <c r="Q17" s="47"/>
      <c r="R17" s="48"/>
      <c r="S17" s="44"/>
      <c r="T17" s="47"/>
      <c r="U17" s="48"/>
      <c r="V17" s="44"/>
      <c r="W17" s="47"/>
      <c r="X17" s="48"/>
    </row>
    <row r="18" spans="1:24" ht="16.149999999999999" customHeight="1" thickBot="1" x14ac:dyDescent="0.25">
      <c r="A18" s="2"/>
      <c r="B18" s="16"/>
      <c r="C18" s="19"/>
      <c r="D18" s="19"/>
      <c r="E18" s="21"/>
      <c r="F18" s="5"/>
      <c r="H18" s="28"/>
      <c r="I18" s="29"/>
      <c r="J18" s="42"/>
      <c r="K18" s="52"/>
      <c r="L18" s="53"/>
      <c r="M18" s="44"/>
      <c r="N18" s="44"/>
      <c r="O18" s="44"/>
      <c r="P18" s="44"/>
      <c r="Q18" s="47"/>
      <c r="R18" s="48"/>
      <c r="S18" s="44"/>
      <c r="T18" s="47"/>
      <c r="U18" s="48"/>
      <c r="V18" s="44"/>
      <c r="W18" s="49" t="s">
        <v>33</v>
      </c>
      <c r="X18" s="50">
        <f>SUM(X14:X17)</f>
        <v>0</v>
      </c>
    </row>
    <row r="19" spans="1:24" ht="16.149999999999999" customHeight="1" x14ac:dyDescent="0.2">
      <c r="A19" s="2"/>
      <c r="B19" s="16" t="s">
        <v>22</v>
      </c>
      <c r="C19" s="17" t="s">
        <v>0</v>
      </c>
      <c r="D19" s="17" t="s">
        <v>1</v>
      </c>
      <c r="E19" s="18" t="s">
        <v>2</v>
      </c>
      <c r="F19" s="14"/>
      <c r="H19" s="28"/>
      <c r="I19" s="29"/>
      <c r="J19" s="42"/>
      <c r="K19" s="52"/>
      <c r="L19" s="53"/>
      <c r="M19" s="44"/>
      <c r="N19" s="44"/>
      <c r="O19" s="44"/>
      <c r="P19" s="44"/>
      <c r="Q19" s="47"/>
      <c r="R19" s="48"/>
      <c r="S19" s="44"/>
      <c r="T19" s="47"/>
      <c r="U19" s="48"/>
      <c r="V19" s="44"/>
      <c r="W19" s="44"/>
      <c r="X19" s="54"/>
    </row>
    <row r="20" spans="1:24" ht="15.75" customHeight="1" x14ac:dyDescent="0.2">
      <c r="A20" s="2"/>
      <c r="B20" s="22" t="s">
        <v>48</v>
      </c>
      <c r="C20" s="19">
        <f>IF('Starting Page'!I24="Yes",'Starting Page'!I25/8,IF('Starting Page'!I27="Yes",'Starting Page'!I28,0))</f>
        <v>812.5</v>
      </c>
      <c r="D20" s="19">
        <f>L29</f>
        <v>0</v>
      </c>
      <c r="E20" s="20">
        <f>Table114385062748698310173138[Projected Cost]-Table114385062748698310173138[Actual Cost]</f>
        <v>812.5</v>
      </c>
      <c r="F20" s="67"/>
      <c r="H20" s="28"/>
      <c r="I20" s="29"/>
      <c r="J20" s="42"/>
      <c r="K20" s="51"/>
      <c r="L20" s="44"/>
      <c r="M20" s="44"/>
      <c r="N20" s="44"/>
      <c r="O20" s="44"/>
      <c r="P20" s="44"/>
      <c r="Q20" s="47"/>
      <c r="R20" s="48"/>
      <c r="S20" s="44"/>
      <c r="T20" s="47"/>
      <c r="U20" s="48"/>
      <c r="V20" s="44"/>
      <c r="W20" s="44"/>
      <c r="X20" s="54"/>
    </row>
    <row r="21" spans="1:24" ht="15.75" customHeight="1" thickBot="1" x14ac:dyDescent="0.25">
      <c r="A21" s="2"/>
      <c r="B21" s="22" t="s">
        <v>4</v>
      </c>
      <c r="C21" s="19">
        <v>70</v>
      </c>
      <c r="D21" s="19">
        <f>O29</f>
        <v>0</v>
      </c>
      <c r="E21" s="20">
        <f>Table114385062748698310173138[Projected Cost]-Table114385062748698310173138[Actual Cost]</f>
        <v>70</v>
      </c>
      <c r="F21" s="67"/>
      <c r="H21" s="28"/>
      <c r="I21" s="29"/>
      <c r="J21" s="42"/>
      <c r="K21" s="51"/>
      <c r="L21" s="44"/>
      <c r="M21" s="44"/>
      <c r="N21" s="44"/>
      <c r="O21" s="44"/>
      <c r="P21" s="44"/>
      <c r="Q21" s="47"/>
      <c r="R21" s="48"/>
      <c r="S21" s="44"/>
      <c r="T21" s="47"/>
      <c r="U21" s="48"/>
      <c r="V21" s="44"/>
      <c r="W21" s="44"/>
      <c r="X21" s="54"/>
    </row>
    <row r="22" spans="1:24" ht="15.75" customHeight="1" thickBot="1" x14ac:dyDescent="0.25">
      <c r="A22" s="2"/>
      <c r="B22" s="22" t="s">
        <v>47</v>
      </c>
      <c r="C22" s="19">
        <v>20</v>
      </c>
      <c r="D22" s="19">
        <f>R29</f>
        <v>0</v>
      </c>
      <c r="E22" s="20">
        <f>Table114385062748698310173138[Projected Cost]-Table114385062748698310173138[Actual Cost]</f>
        <v>20</v>
      </c>
      <c r="F22" s="67"/>
      <c r="H22" s="28"/>
      <c r="I22" s="29"/>
      <c r="J22" s="42"/>
      <c r="K22" s="55"/>
      <c r="L22" s="56"/>
      <c r="M22" s="56"/>
      <c r="N22" s="56"/>
      <c r="O22" s="56"/>
      <c r="P22" s="56"/>
      <c r="Q22" s="49" t="s">
        <v>33</v>
      </c>
      <c r="R22" s="50">
        <f>SUM(R14:R21)</f>
        <v>0</v>
      </c>
      <c r="S22" s="56"/>
      <c r="T22" s="49" t="s">
        <v>33</v>
      </c>
      <c r="U22" s="50">
        <f>SUM(U14:U21)</f>
        <v>0</v>
      </c>
      <c r="V22" s="56"/>
      <c r="W22" s="56"/>
      <c r="X22" s="57"/>
    </row>
    <row r="23" spans="1:24" ht="15.75" customHeight="1" thickBot="1" x14ac:dyDescent="0.25">
      <c r="A23" s="2"/>
      <c r="B23" s="22" t="s">
        <v>37</v>
      </c>
      <c r="C23" s="19">
        <v>20</v>
      </c>
      <c r="D23" s="19">
        <f>U29</f>
        <v>0</v>
      </c>
      <c r="E23" s="20">
        <f>Table114385062748698310173138[Projected Cost]-Table114385062748698310173138[Actual Cost]</f>
        <v>20</v>
      </c>
      <c r="F23" s="67"/>
      <c r="H23" s="36" t="s">
        <v>33</v>
      </c>
      <c r="I23" s="30">
        <f>SUM(I13:I22)</f>
        <v>0</v>
      </c>
      <c r="J23" s="42"/>
      <c r="U23" s="23"/>
    </row>
    <row r="24" spans="1:24" ht="15.75" customHeight="1" thickBot="1" x14ac:dyDescent="0.25">
      <c r="A24" s="2"/>
      <c r="B24" s="22" t="s">
        <v>6</v>
      </c>
      <c r="C24" s="19">
        <v>50</v>
      </c>
      <c r="D24" s="19">
        <f>X29</f>
        <v>0</v>
      </c>
      <c r="E24" s="20">
        <f>Table114385062748698310173138[Projected Cost]-Table114385062748698310173138[Actual Cost]</f>
        <v>50</v>
      </c>
      <c r="F24" s="67"/>
      <c r="I24" s="43"/>
      <c r="J24" s="42"/>
      <c r="K24" s="139" t="s">
        <v>58</v>
      </c>
      <c r="L24" s="140"/>
      <c r="M24" s="140"/>
      <c r="N24" s="140"/>
      <c r="O24" s="140"/>
      <c r="P24" s="140"/>
      <c r="Q24" s="140"/>
      <c r="R24" s="140"/>
      <c r="S24" s="140"/>
      <c r="T24" s="140"/>
      <c r="U24" s="140"/>
      <c r="V24" s="140"/>
      <c r="W24" s="140"/>
      <c r="X24" s="141"/>
    </row>
    <row r="25" spans="1:24" ht="15.75" customHeight="1" thickBot="1" x14ac:dyDescent="0.25">
      <c r="A25" s="2"/>
      <c r="B25" s="16" t="s">
        <v>33</v>
      </c>
      <c r="C25" s="19">
        <f>SUBTOTAL(109,Table114385062748698310173138[Projected Cost])</f>
        <v>972.5</v>
      </c>
      <c r="D25" s="19">
        <f>SUBTOTAL(109,Table114385062748698310173138[Actual Cost])</f>
        <v>0</v>
      </c>
      <c r="E25" s="21">
        <f>SUBTOTAL(109,Table114385062748698310173138[Difference])</f>
        <v>972.5</v>
      </c>
      <c r="F25" s="67"/>
      <c r="J25" s="42"/>
      <c r="K25" s="148" t="s">
        <v>48</v>
      </c>
      <c r="L25" s="149"/>
      <c r="M25" s="44"/>
      <c r="N25" s="148" t="s">
        <v>4</v>
      </c>
      <c r="O25" s="149"/>
      <c r="P25" s="44"/>
      <c r="Q25" s="148" t="s">
        <v>47</v>
      </c>
      <c r="R25" s="149"/>
      <c r="S25" s="44"/>
      <c r="T25" s="148" t="s">
        <v>37</v>
      </c>
      <c r="U25" s="149"/>
      <c r="V25" s="44"/>
      <c r="W25" s="148" t="s">
        <v>6</v>
      </c>
      <c r="X25" s="149"/>
    </row>
    <row r="26" spans="1:24" ht="15.75" customHeight="1" thickBot="1" x14ac:dyDescent="0.25">
      <c r="A26" s="2"/>
      <c r="B26" s="113"/>
      <c r="C26" s="113"/>
      <c r="D26" s="113"/>
      <c r="E26" s="113"/>
      <c r="F26" s="67"/>
      <c r="J26" s="42"/>
      <c r="K26" s="45" t="s">
        <v>38</v>
      </c>
      <c r="L26" s="46" t="s">
        <v>46</v>
      </c>
      <c r="M26" s="44"/>
      <c r="N26" s="45" t="s">
        <v>38</v>
      </c>
      <c r="O26" s="46" t="s">
        <v>46</v>
      </c>
      <c r="P26" s="44"/>
      <c r="Q26" s="45" t="s">
        <v>38</v>
      </c>
      <c r="R26" s="46" t="s">
        <v>46</v>
      </c>
      <c r="S26" s="44"/>
      <c r="T26" s="45" t="s">
        <v>38</v>
      </c>
      <c r="U26" s="46" t="s">
        <v>46</v>
      </c>
      <c r="V26" s="44"/>
      <c r="W26" s="45" t="s">
        <v>38</v>
      </c>
      <c r="X26" s="46" t="s">
        <v>46</v>
      </c>
    </row>
    <row r="27" spans="1:24" ht="15.75" customHeight="1" x14ac:dyDescent="0.2">
      <c r="A27" s="2"/>
      <c r="B27" s="16" t="s">
        <v>24</v>
      </c>
      <c r="C27" s="17" t="s">
        <v>0</v>
      </c>
      <c r="D27" s="17" t="s">
        <v>1</v>
      </c>
      <c r="E27" s="18" t="s">
        <v>2</v>
      </c>
      <c r="F27" s="67"/>
      <c r="J27" s="42"/>
      <c r="K27" s="47" t="s">
        <v>48</v>
      </c>
      <c r="L27" s="48"/>
      <c r="M27" s="44"/>
      <c r="N27" s="47" t="s">
        <v>59</v>
      </c>
      <c r="O27" s="48"/>
      <c r="P27" s="44"/>
      <c r="Q27" s="47" t="s">
        <v>60</v>
      </c>
      <c r="R27" s="48"/>
      <c r="S27" s="44"/>
      <c r="T27" s="47" t="s">
        <v>59</v>
      </c>
      <c r="U27" s="48"/>
      <c r="V27" s="44"/>
      <c r="W27" s="47" t="s">
        <v>61</v>
      </c>
      <c r="X27" s="48"/>
    </row>
    <row r="28" spans="1:24" ht="15.75" customHeight="1" thickBot="1" x14ac:dyDescent="0.25">
      <c r="A28" s="2"/>
      <c r="B28" s="22" t="s">
        <v>20</v>
      </c>
      <c r="C28" s="19">
        <v>0</v>
      </c>
      <c r="D28" s="19">
        <f>L36</f>
        <v>0</v>
      </c>
      <c r="E28" s="20">
        <f>Table3214557698193105613203441[Projected Cost]-Table3214557698193105613203441[Actual Cost]</f>
        <v>0</v>
      </c>
      <c r="F28" s="67"/>
      <c r="J28" s="43"/>
      <c r="K28" s="47"/>
      <c r="L28" s="48"/>
      <c r="M28" s="44"/>
      <c r="N28" s="47"/>
      <c r="O28" s="48"/>
      <c r="P28" s="44"/>
      <c r="Q28" s="47"/>
      <c r="R28" s="48"/>
      <c r="S28" s="44"/>
      <c r="T28" s="47"/>
      <c r="U28" s="48"/>
      <c r="V28" s="44"/>
      <c r="W28" s="47"/>
      <c r="X28" s="48"/>
    </row>
    <row r="29" spans="1:24" ht="15.75" customHeight="1" thickBot="1" x14ac:dyDescent="0.25">
      <c r="A29" s="2"/>
      <c r="B29" s="22" t="s">
        <v>7</v>
      </c>
      <c r="C29" s="19">
        <v>0</v>
      </c>
      <c r="D29" s="19">
        <f>O36</f>
        <v>0</v>
      </c>
      <c r="E29" s="20">
        <f>Table3214557698193105613203441[Projected Cost]-Table3214557698193105613203441[Actual Cost]</f>
        <v>0</v>
      </c>
      <c r="F29" s="67"/>
      <c r="K29" s="49" t="s">
        <v>33</v>
      </c>
      <c r="L29" s="50">
        <f>SUM(L27:L28)</f>
        <v>0</v>
      </c>
      <c r="M29" s="56"/>
      <c r="N29" s="49" t="s">
        <v>33</v>
      </c>
      <c r="O29" s="50">
        <f>SUM(O27:O28)</f>
        <v>0</v>
      </c>
      <c r="P29" s="56"/>
      <c r="Q29" s="49" t="s">
        <v>33</v>
      </c>
      <c r="R29" s="50">
        <f>SUM(R27:R28)</f>
        <v>0</v>
      </c>
      <c r="S29" s="56"/>
      <c r="T29" s="49" t="s">
        <v>33</v>
      </c>
      <c r="U29" s="50">
        <f>SUM(U27:U28)</f>
        <v>0</v>
      </c>
      <c r="V29" s="56"/>
      <c r="W29" s="49" t="s">
        <v>33</v>
      </c>
      <c r="X29" s="50">
        <f>SUM(X27:X28)</f>
        <v>0</v>
      </c>
    </row>
    <row r="30" spans="1:24" ht="15.75" customHeight="1" thickBot="1" x14ac:dyDescent="0.25">
      <c r="A30" s="2"/>
      <c r="B30" s="22" t="s">
        <v>8</v>
      </c>
      <c r="C30" s="19">
        <v>0</v>
      </c>
      <c r="D30" s="19">
        <f>R40</f>
        <v>0</v>
      </c>
      <c r="E30" s="20">
        <f>Table3214557698193105613203441[Projected Cost]-Table3214557698193105613203441[Actual Cost]</f>
        <v>0</v>
      </c>
      <c r="F30" s="67"/>
      <c r="K30" s="44"/>
      <c r="L30" s="44"/>
      <c r="M30" s="44"/>
      <c r="N30" s="44"/>
      <c r="O30" s="44"/>
      <c r="P30" s="44"/>
      <c r="Q30" s="58"/>
      <c r="R30" s="58"/>
      <c r="S30" s="58"/>
      <c r="T30" s="58"/>
      <c r="U30" s="58"/>
      <c r="V30" s="44"/>
      <c r="W30" s="44"/>
      <c r="X30" s="44"/>
    </row>
    <row r="31" spans="1:24" ht="15.75" customHeight="1" thickBot="1" x14ac:dyDescent="0.25">
      <c r="A31" s="2"/>
      <c r="B31" s="22" t="s">
        <v>9</v>
      </c>
      <c r="C31" s="19">
        <v>0</v>
      </c>
      <c r="D31" s="19">
        <f>U38</f>
        <v>0</v>
      </c>
      <c r="E31" s="20">
        <f>Table3214557698193105613203441[Projected Cost]-Table3214557698193105613203441[Actual Cost]</f>
        <v>0</v>
      </c>
      <c r="F31" s="67"/>
      <c r="K31" s="139" t="s">
        <v>63</v>
      </c>
      <c r="L31" s="140"/>
      <c r="M31" s="140"/>
      <c r="N31" s="140"/>
      <c r="O31" s="140"/>
      <c r="P31" s="140"/>
      <c r="Q31" s="140"/>
      <c r="R31" s="140"/>
      <c r="S31" s="140"/>
      <c r="T31" s="140"/>
      <c r="U31" s="140"/>
      <c r="V31" s="140"/>
      <c r="W31" s="140"/>
      <c r="X31" s="141"/>
    </row>
    <row r="32" spans="1:24" ht="15.75" customHeight="1" thickBot="1" x14ac:dyDescent="0.25">
      <c r="A32" s="2"/>
      <c r="B32" s="22" t="s">
        <v>62</v>
      </c>
      <c r="C32" s="19">
        <v>50</v>
      </c>
      <c r="D32" s="19">
        <f>X40</f>
        <v>0</v>
      </c>
      <c r="E32" s="20">
        <f>Table3214557698193105613203441[Projected Cost]-Table3214557698193105613203441[Actual Cost]</f>
        <v>50</v>
      </c>
      <c r="F32" s="67"/>
      <c r="K32" s="148" t="s">
        <v>39</v>
      </c>
      <c r="L32" s="149"/>
      <c r="M32" s="44"/>
      <c r="N32" s="148" t="s">
        <v>7</v>
      </c>
      <c r="O32" s="149"/>
      <c r="P32" s="44"/>
      <c r="Q32" s="148" t="s">
        <v>8</v>
      </c>
      <c r="R32" s="149"/>
      <c r="S32" s="44"/>
      <c r="T32" s="148" t="s">
        <v>9</v>
      </c>
      <c r="U32" s="149"/>
      <c r="V32" s="44"/>
      <c r="W32" s="148" t="s">
        <v>62</v>
      </c>
      <c r="X32" s="149"/>
    </row>
    <row r="33" spans="1:24" ht="15.75" customHeight="1" thickBot="1" x14ac:dyDescent="0.25">
      <c r="A33" s="2"/>
      <c r="B33" s="16" t="s">
        <v>33</v>
      </c>
      <c r="C33" s="19">
        <f>SUBTOTAL(109,Table3214557698193105613203441[Projected Cost])</f>
        <v>50</v>
      </c>
      <c r="D33" s="19">
        <f>SUBTOTAL(109,Table3214557698193105613203441[Actual Cost])</f>
        <v>0</v>
      </c>
      <c r="E33" s="21">
        <f>SUBTOTAL(109,Table3214557698193105613203441[Difference])</f>
        <v>50</v>
      </c>
      <c r="F33" s="67"/>
      <c r="K33" s="45" t="s">
        <v>38</v>
      </c>
      <c r="L33" s="46" t="s">
        <v>46</v>
      </c>
      <c r="M33" s="44"/>
      <c r="N33" s="45" t="s">
        <v>38</v>
      </c>
      <c r="O33" s="46" t="s">
        <v>46</v>
      </c>
      <c r="P33" s="44"/>
      <c r="Q33" s="45" t="s">
        <v>38</v>
      </c>
      <c r="R33" s="46" t="s">
        <v>46</v>
      </c>
      <c r="S33" s="44"/>
      <c r="T33" s="45" t="s">
        <v>38</v>
      </c>
      <c r="U33" s="46" t="s">
        <v>46</v>
      </c>
      <c r="V33" s="44"/>
      <c r="W33" s="45" t="s">
        <v>38</v>
      </c>
      <c r="X33" s="46" t="s">
        <v>46</v>
      </c>
    </row>
    <row r="34" spans="1:24" ht="15.75" customHeight="1" x14ac:dyDescent="0.2">
      <c r="A34" s="2"/>
      <c r="B34" s="113"/>
      <c r="C34" s="113"/>
      <c r="D34" s="113"/>
      <c r="E34" s="113"/>
      <c r="F34" s="67"/>
      <c r="K34" s="47" t="s">
        <v>64</v>
      </c>
      <c r="L34" s="48"/>
      <c r="M34" s="44"/>
      <c r="N34" s="47" t="s">
        <v>59</v>
      </c>
      <c r="O34" s="48"/>
      <c r="P34" s="44"/>
      <c r="Q34" s="47" t="s">
        <v>65</v>
      </c>
      <c r="R34" s="48"/>
      <c r="S34" s="44"/>
      <c r="T34" s="47" t="s">
        <v>67</v>
      </c>
      <c r="U34" s="48"/>
      <c r="V34" s="44"/>
      <c r="W34" s="47" t="s">
        <v>66</v>
      </c>
      <c r="X34" s="48"/>
    </row>
    <row r="35" spans="1:24" ht="15.75" customHeight="1" thickBot="1" x14ac:dyDescent="0.25">
      <c r="A35" s="2"/>
      <c r="B35" s="16" t="s">
        <v>25</v>
      </c>
      <c r="C35" s="17" t="s">
        <v>0</v>
      </c>
      <c r="D35" s="17" t="s">
        <v>1</v>
      </c>
      <c r="E35" s="18" t="s">
        <v>2</v>
      </c>
      <c r="F35" s="67"/>
      <c r="K35" s="47"/>
      <c r="L35" s="48"/>
      <c r="M35" s="44"/>
      <c r="N35" s="47"/>
      <c r="O35" s="48"/>
      <c r="P35" s="44"/>
      <c r="Q35" s="47"/>
      <c r="R35" s="48"/>
      <c r="S35" s="44"/>
      <c r="T35" s="47"/>
      <c r="U35" s="48"/>
      <c r="V35" s="44"/>
      <c r="W35" s="47"/>
      <c r="X35" s="48"/>
    </row>
    <row r="36" spans="1:24" ht="15.75" customHeight="1" thickBot="1" x14ac:dyDescent="0.25">
      <c r="A36" s="2"/>
      <c r="B36" s="22" t="s">
        <v>68</v>
      </c>
      <c r="C36" s="19">
        <v>15</v>
      </c>
      <c r="D36" s="19">
        <f>L46</f>
        <v>0</v>
      </c>
      <c r="E36" s="20">
        <f>Table415395163758799411183239[Projected Cost]-Table415395163758799411183239[Actual Cost]</f>
        <v>15</v>
      </c>
      <c r="F36" s="67"/>
      <c r="K36" s="49" t="s">
        <v>33</v>
      </c>
      <c r="L36" s="50">
        <f>SUM(L34:L35)</f>
        <v>0</v>
      </c>
      <c r="M36" s="44"/>
      <c r="N36" s="49" t="s">
        <v>33</v>
      </c>
      <c r="O36" s="50">
        <f>SUM(O34:O35)</f>
        <v>0</v>
      </c>
      <c r="P36" s="44"/>
      <c r="Q36" s="47"/>
      <c r="R36" s="48"/>
      <c r="S36" s="44"/>
      <c r="T36" s="47"/>
      <c r="U36" s="48"/>
      <c r="V36" s="44"/>
      <c r="W36" s="47"/>
      <c r="X36" s="48"/>
    </row>
    <row r="37" spans="1:24" ht="15.75" customHeight="1" thickBot="1" x14ac:dyDescent="0.25">
      <c r="A37" s="2"/>
      <c r="B37" s="16" t="s">
        <v>33</v>
      </c>
      <c r="C37" s="19">
        <f>SUBTOTAL(109,Table415395163758799411183239[Projected Cost])</f>
        <v>15</v>
      </c>
      <c r="D37" s="19">
        <f>SUBTOTAL(109,Table415395163758799411183239[Actual Cost])</f>
        <v>0</v>
      </c>
      <c r="E37" s="21">
        <f>SUBTOTAL(109,Table415395163758799411183239[Difference])</f>
        <v>15</v>
      </c>
      <c r="F37" s="67"/>
      <c r="K37" s="62"/>
      <c r="L37" s="58"/>
      <c r="M37" s="44"/>
      <c r="N37" s="58"/>
      <c r="O37" s="58"/>
      <c r="P37" s="44"/>
      <c r="Q37" s="47"/>
      <c r="R37" s="48"/>
      <c r="S37" s="44"/>
      <c r="T37" s="47"/>
      <c r="U37" s="48"/>
      <c r="V37" s="44"/>
      <c r="W37" s="47"/>
      <c r="X37" s="48"/>
    </row>
    <row r="38" spans="1:24" ht="15.75" customHeight="1" thickBot="1" x14ac:dyDescent="0.25">
      <c r="A38" s="2"/>
      <c r="B38" s="113"/>
      <c r="C38" s="113"/>
      <c r="D38" s="113"/>
      <c r="E38" s="113"/>
      <c r="F38" s="67"/>
      <c r="K38" s="62"/>
      <c r="L38" s="58"/>
      <c r="M38" s="44"/>
      <c r="N38" s="58"/>
      <c r="O38" s="58"/>
      <c r="P38" s="44"/>
      <c r="Q38" s="47"/>
      <c r="R38" s="48"/>
      <c r="S38" s="44"/>
      <c r="T38" s="49" t="s">
        <v>33</v>
      </c>
      <c r="U38" s="50">
        <f>SUM(U34:U37)</f>
        <v>0</v>
      </c>
      <c r="V38" s="44"/>
      <c r="W38" s="47"/>
      <c r="X38" s="48"/>
    </row>
    <row r="39" spans="1:24" ht="15.75" customHeight="1" thickBot="1" x14ac:dyDescent="0.25">
      <c r="A39" s="2"/>
      <c r="B39" s="16" t="s">
        <v>26</v>
      </c>
      <c r="C39" s="17" t="s">
        <v>0</v>
      </c>
      <c r="D39" s="17" t="s">
        <v>1</v>
      </c>
      <c r="E39" s="18" t="s">
        <v>2</v>
      </c>
      <c r="F39" s="67"/>
      <c r="K39" s="62"/>
      <c r="L39" s="58"/>
      <c r="M39" s="44"/>
      <c r="N39" s="58"/>
      <c r="O39" s="58"/>
      <c r="P39" s="44"/>
      <c r="Q39" s="47"/>
      <c r="R39" s="48"/>
      <c r="S39" s="44"/>
      <c r="T39" s="58"/>
      <c r="U39" s="58"/>
      <c r="V39" s="44"/>
      <c r="W39" s="47"/>
      <c r="X39" s="48"/>
    </row>
    <row r="40" spans="1:24" ht="15.75" customHeight="1" thickBot="1" x14ac:dyDescent="0.25">
      <c r="A40" s="2"/>
      <c r="B40" s="22" t="s">
        <v>92</v>
      </c>
      <c r="C40" s="19">
        <f>IF('Starting Page'!I24="Yes",'Starting Page'!I26/8,300)</f>
        <v>500</v>
      </c>
      <c r="D40" s="19">
        <f>O53</f>
        <v>0</v>
      </c>
      <c r="E40" s="20">
        <f>Table5194355677991103512193340[Projected Cost]-Table5194355677991103512193340[Actual Cost]</f>
        <v>500</v>
      </c>
      <c r="F40" s="67"/>
      <c r="K40" s="63"/>
      <c r="L40" s="59"/>
      <c r="M40" s="56"/>
      <c r="N40" s="59"/>
      <c r="O40" s="59"/>
      <c r="P40" s="56"/>
      <c r="Q40" s="49" t="s">
        <v>33</v>
      </c>
      <c r="R40" s="50">
        <f>SUM(R34:R39)</f>
        <v>0</v>
      </c>
      <c r="S40" s="56"/>
      <c r="T40" s="59"/>
      <c r="U40" s="59"/>
      <c r="V40" s="56"/>
      <c r="W40" s="49" t="s">
        <v>33</v>
      </c>
      <c r="X40" s="50">
        <f>SUM(X34:X39)</f>
        <v>0</v>
      </c>
    </row>
    <row r="41" spans="1:24" ht="15.75" customHeight="1" thickBot="1" x14ac:dyDescent="0.25">
      <c r="A41" s="2"/>
      <c r="B41" s="22" t="s">
        <v>15</v>
      </c>
      <c r="C41" s="19">
        <v>100</v>
      </c>
      <c r="D41" s="19">
        <f>R53</f>
        <v>0</v>
      </c>
      <c r="E41" s="20">
        <f>Table5194355677991103512193340[Projected Cost]-Table5194355677991103512193340[Actual Cost]</f>
        <v>100</v>
      </c>
      <c r="F41" s="67"/>
    </row>
    <row r="42" spans="1:24" ht="15.75" customHeight="1" thickBot="1" x14ac:dyDescent="0.25">
      <c r="A42" s="2"/>
      <c r="B42" s="22" t="s">
        <v>6</v>
      </c>
      <c r="C42" s="19">
        <v>0</v>
      </c>
      <c r="D42" s="19">
        <f>U49</f>
        <v>0</v>
      </c>
      <c r="E42" s="20">
        <f>Table5194355677991103512193340[Projected Cost]-Table5194355677991103512193340[Actual Cost]</f>
        <v>0</v>
      </c>
      <c r="F42" s="67"/>
      <c r="K42" s="144" t="s">
        <v>68</v>
      </c>
      <c r="L42" s="145"/>
      <c r="N42" s="139" t="s">
        <v>11</v>
      </c>
      <c r="O42" s="140"/>
      <c r="P42" s="140"/>
      <c r="Q42" s="140"/>
      <c r="R42" s="140"/>
      <c r="S42" s="140"/>
      <c r="T42" s="140"/>
      <c r="U42" s="141"/>
    </row>
    <row r="43" spans="1:24" ht="15.75" customHeight="1" thickBot="1" x14ac:dyDescent="0.25">
      <c r="A43" s="2"/>
      <c r="B43" s="16" t="s">
        <v>33</v>
      </c>
      <c r="C43" s="19">
        <f>SUBTOTAL(109,Table5194355677991103512193340[Projected Cost])</f>
        <v>600</v>
      </c>
      <c r="D43" s="19">
        <f>SUBTOTAL(109,Table5194355677991103512193340[Actual Cost])</f>
        <v>0</v>
      </c>
      <c r="E43" s="21">
        <f>SUBTOTAL(109,Table5194355677991103512193340[Difference])</f>
        <v>600</v>
      </c>
      <c r="F43" s="67"/>
      <c r="K43" s="45" t="s">
        <v>38</v>
      </c>
      <c r="L43" s="46" t="s">
        <v>46</v>
      </c>
      <c r="N43" s="148" t="s">
        <v>10</v>
      </c>
      <c r="O43" s="149"/>
      <c r="P43" s="44"/>
      <c r="Q43" s="148" t="s">
        <v>40</v>
      </c>
      <c r="R43" s="149"/>
      <c r="S43" s="58"/>
      <c r="T43" s="148" t="s">
        <v>6</v>
      </c>
      <c r="U43" s="149"/>
    </row>
    <row r="44" spans="1:24" ht="15.75" customHeight="1" thickBot="1" x14ac:dyDescent="0.25">
      <c r="A44" s="2"/>
      <c r="B44" s="113"/>
      <c r="C44" s="113"/>
      <c r="D44" s="113"/>
      <c r="E44" s="113"/>
      <c r="F44" s="67"/>
      <c r="K44" s="47" t="s">
        <v>59</v>
      </c>
      <c r="L44" s="48"/>
      <c r="N44" s="45" t="s">
        <v>38</v>
      </c>
      <c r="O44" s="46" t="s">
        <v>46</v>
      </c>
      <c r="P44" s="44"/>
      <c r="Q44" s="45" t="s">
        <v>38</v>
      </c>
      <c r="R44" s="46" t="s">
        <v>46</v>
      </c>
      <c r="S44" s="58"/>
      <c r="T44" s="45" t="s">
        <v>38</v>
      </c>
      <c r="U44" s="46" t="s">
        <v>46</v>
      </c>
    </row>
    <row r="45" spans="1:24" ht="15.75" customHeight="1" thickBot="1" x14ac:dyDescent="0.25">
      <c r="A45" s="2"/>
      <c r="B45" s="16" t="s">
        <v>27</v>
      </c>
      <c r="C45" s="17" t="s">
        <v>0</v>
      </c>
      <c r="D45" s="17" t="s">
        <v>1</v>
      </c>
      <c r="E45" s="18" t="s">
        <v>2</v>
      </c>
      <c r="F45" s="67"/>
      <c r="K45" s="47"/>
      <c r="L45" s="48"/>
      <c r="N45" s="47" t="s">
        <v>69</v>
      </c>
      <c r="O45" s="48"/>
      <c r="P45" s="44"/>
      <c r="Q45" s="47" t="s">
        <v>70</v>
      </c>
      <c r="R45" s="48"/>
      <c r="S45" s="58"/>
      <c r="T45" s="47"/>
      <c r="U45" s="48"/>
    </row>
    <row r="46" spans="1:24" ht="17.25" customHeight="1" thickBot="1" x14ac:dyDescent="0.25">
      <c r="A46" s="2"/>
      <c r="B46" s="22" t="s">
        <v>12</v>
      </c>
      <c r="C46" s="19">
        <v>20</v>
      </c>
      <c r="D46" s="19">
        <f>L61</f>
        <v>0</v>
      </c>
      <c r="E46" s="20">
        <f>Table7244860728496108714213542[Projected Cost]-Table7244860728496108714213542[Actual Cost]</f>
        <v>20</v>
      </c>
      <c r="F46" s="67"/>
      <c r="K46" s="49" t="s">
        <v>33</v>
      </c>
      <c r="L46" s="50">
        <f>SUM(L44:L45)</f>
        <v>0</v>
      </c>
      <c r="N46" s="47"/>
      <c r="O46" s="48"/>
      <c r="P46" s="44"/>
      <c r="Q46" s="47"/>
      <c r="R46" s="48"/>
      <c r="S46" s="58"/>
      <c r="T46" s="47"/>
      <c r="U46" s="48"/>
    </row>
    <row r="47" spans="1:24" ht="15.75" customHeight="1" x14ac:dyDescent="0.2">
      <c r="A47" s="2"/>
      <c r="B47" s="22" t="s">
        <v>14</v>
      </c>
      <c r="C47" s="19">
        <v>50</v>
      </c>
      <c r="D47" s="19">
        <f>O60</f>
        <v>0</v>
      </c>
      <c r="E47" s="20">
        <f>Table7244860728496108714213542[Projected Cost]-Table7244860728496108714213542[Actual Cost]</f>
        <v>50</v>
      </c>
      <c r="F47" s="67"/>
      <c r="N47" s="47"/>
      <c r="O47" s="48"/>
      <c r="P47" s="44"/>
      <c r="Q47" s="47"/>
      <c r="R47" s="48"/>
      <c r="S47" s="58"/>
      <c r="T47" s="47"/>
      <c r="U47" s="48"/>
    </row>
    <row r="48" spans="1:24" ht="15.75" customHeight="1" thickBot="1" x14ac:dyDescent="0.25">
      <c r="A48" s="2"/>
      <c r="B48" s="22" t="s">
        <v>13</v>
      </c>
      <c r="C48" s="19">
        <v>50</v>
      </c>
      <c r="D48" s="19">
        <f>R64</f>
        <v>0</v>
      </c>
      <c r="E48" s="20">
        <f>Table7244860728496108714213542[Projected Cost]-Table7244860728496108714213542[Actual Cost]</f>
        <v>50</v>
      </c>
      <c r="F48" s="67"/>
      <c r="N48" s="47"/>
      <c r="O48" s="48"/>
      <c r="P48" s="44"/>
      <c r="Q48" s="47"/>
      <c r="R48" s="48"/>
      <c r="S48" s="58"/>
      <c r="T48" s="47"/>
      <c r="U48" s="48"/>
    </row>
    <row r="49" spans="1:24" ht="15.75" customHeight="1" thickBot="1" x14ac:dyDescent="0.25">
      <c r="A49" s="2"/>
      <c r="B49" s="22" t="s">
        <v>49</v>
      </c>
      <c r="C49" s="19">
        <v>40</v>
      </c>
      <c r="D49" s="19">
        <f>U60</f>
        <v>0</v>
      </c>
      <c r="E49" s="20">
        <f>Table7244860728496108714213542[Projected Cost]-Table7244860728496108714213542[Actual Cost]</f>
        <v>40</v>
      </c>
      <c r="F49" s="67"/>
      <c r="N49" s="47"/>
      <c r="O49" s="48"/>
      <c r="P49" s="44"/>
      <c r="Q49" s="47"/>
      <c r="R49" s="48"/>
      <c r="S49" s="58"/>
      <c r="T49" s="49" t="s">
        <v>33</v>
      </c>
      <c r="U49" s="50">
        <f>SUM(U45:U48)</f>
        <v>0</v>
      </c>
    </row>
    <row r="50" spans="1:24" ht="15.75" customHeight="1" x14ac:dyDescent="0.2">
      <c r="A50" s="2"/>
      <c r="B50" s="22" t="s">
        <v>6</v>
      </c>
      <c r="C50" s="19">
        <v>20</v>
      </c>
      <c r="D50" s="19">
        <f>X64</f>
        <v>0</v>
      </c>
      <c r="E50" s="20">
        <f>Table7244860728496108714213542[Projected Cost]-Table7244860728496108714213542[Actual Cost]</f>
        <v>20</v>
      </c>
      <c r="F50" s="67"/>
      <c r="N50" s="47"/>
      <c r="O50" s="48"/>
      <c r="P50" s="44"/>
      <c r="Q50" s="47"/>
      <c r="R50" s="48"/>
      <c r="S50" s="58"/>
      <c r="T50" s="58"/>
      <c r="U50" s="64"/>
    </row>
    <row r="51" spans="1:24" ht="15.75" customHeight="1" x14ac:dyDescent="0.2">
      <c r="A51" s="2"/>
      <c r="B51" s="16" t="s">
        <v>33</v>
      </c>
      <c r="C51" s="19">
        <f>SUBTOTAL(109,Table7244860728496108714213542[Projected Cost])</f>
        <v>180</v>
      </c>
      <c r="D51" s="19">
        <f>SUBTOTAL(109,Table7244860728496108714213542[Actual Cost])</f>
        <v>0</v>
      </c>
      <c r="E51" s="21">
        <f>SUBTOTAL(109,Table7244860728496108714213542[Difference])</f>
        <v>180</v>
      </c>
      <c r="F51" s="67"/>
      <c r="N51" s="47"/>
      <c r="O51" s="48"/>
      <c r="P51" s="44"/>
      <c r="Q51" s="47"/>
      <c r="R51" s="48"/>
      <c r="S51" s="58"/>
      <c r="T51" s="58"/>
      <c r="U51" s="64"/>
    </row>
    <row r="52" spans="1:24" ht="15.75" customHeight="1" thickBot="1" x14ac:dyDescent="0.25">
      <c r="A52" s="2"/>
      <c r="F52" s="67"/>
      <c r="N52" s="47"/>
      <c r="O52" s="48"/>
      <c r="P52" s="44"/>
      <c r="Q52" s="47"/>
      <c r="R52" s="48"/>
      <c r="S52" s="58"/>
      <c r="T52" s="58"/>
      <c r="U52" s="64"/>
    </row>
    <row r="53" spans="1:24" ht="15.75" customHeight="1" thickBot="1" x14ac:dyDescent="0.25">
      <c r="A53" s="2"/>
      <c r="B53" s="16" t="s">
        <v>23</v>
      </c>
      <c r="C53" s="17" t="s">
        <v>0</v>
      </c>
      <c r="D53" s="17" t="s">
        <v>1</v>
      </c>
      <c r="E53" s="18" t="s">
        <v>2</v>
      </c>
      <c r="F53" s="67"/>
      <c r="N53" s="49" t="s">
        <v>33</v>
      </c>
      <c r="O53" s="50">
        <f>SUM(O45:O52)</f>
        <v>0</v>
      </c>
      <c r="P53" s="56"/>
      <c r="Q53" s="49" t="s">
        <v>33</v>
      </c>
      <c r="R53" s="50">
        <f>SUM(R45:R52)</f>
        <v>0</v>
      </c>
      <c r="S53" s="59"/>
      <c r="T53" s="59"/>
      <c r="U53" s="65"/>
    </row>
    <row r="54" spans="1:24" ht="15.75" customHeight="1" thickBot="1" x14ac:dyDescent="0.25">
      <c r="A54" s="2"/>
      <c r="B54" s="22" t="s">
        <v>81</v>
      </c>
      <c r="C54" s="19">
        <v>50</v>
      </c>
      <c r="D54" s="19">
        <f>L72</f>
        <v>0</v>
      </c>
      <c r="E54" s="20">
        <f>Table2254961738597109815223643[Projected Cost]-Table2254961738597109815223643[Actual Cost]</f>
        <v>50</v>
      </c>
      <c r="F54" s="67"/>
    </row>
    <row r="55" spans="1:24" ht="15.75" customHeight="1" thickBot="1" x14ac:dyDescent="0.25">
      <c r="A55" s="2"/>
      <c r="B55" s="22" t="s">
        <v>16</v>
      </c>
      <c r="C55" s="19">
        <v>15</v>
      </c>
      <c r="D55" s="19">
        <f>O71</f>
        <v>0</v>
      </c>
      <c r="E55" s="20">
        <f>Table2254961738597109815223643[Projected Cost]-Table2254961738597109815223643[Actual Cost]</f>
        <v>15</v>
      </c>
      <c r="F55" s="13"/>
      <c r="K55" s="139" t="s">
        <v>75</v>
      </c>
      <c r="L55" s="140"/>
      <c r="M55" s="140"/>
      <c r="N55" s="140"/>
      <c r="O55" s="140"/>
      <c r="P55" s="140"/>
      <c r="Q55" s="140"/>
      <c r="R55" s="140"/>
      <c r="S55" s="140"/>
      <c r="T55" s="140"/>
      <c r="U55" s="140"/>
      <c r="V55" s="140"/>
      <c r="W55" s="140"/>
      <c r="X55" s="141"/>
    </row>
    <row r="56" spans="1:24" ht="15.75" customHeight="1" thickBot="1" x14ac:dyDescent="0.25">
      <c r="A56" s="2"/>
      <c r="B56" s="22" t="s">
        <v>17</v>
      </c>
      <c r="C56" s="19">
        <v>20</v>
      </c>
      <c r="D56" s="19">
        <f>R71</f>
        <v>0</v>
      </c>
      <c r="E56" s="20">
        <f>Table2254961738597109815223643[Projected Cost]-Table2254961738597109815223643[Actual Cost]</f>
        <v>20</v>
      </c>
      <c r="F56" s="13"/>
      <c r="K56" s="148" t="s">
        <v>12</v>
      </c>
      <c r="L56" s="149"/>
      <c r="M56" s="44"/>
      <c r="N56" s="148" t="s">
        <v>71</v>
      </c>
      <c r="O56" s="149"/>
      <c r="P56" s="44"/>
      <c r="Q56" s="142" t="s">
        <v>13</v>
      </c>
      <c r="R56" s="143"/>
      <c r="S56" s="44"/>
      <c r="T56" s="148" t="s">
        <v>49</v>
      </c>
      <c r="U56" s="149"/>
      <c r="V56" s="44"/>
      <c r="W56" s="142" t="s">
        <v>6</v>
      </c>
      <c r="X56" s="143"/>
    </row>
    <row r="57" spans="1:24" ht="15.75" customHeight="1" thickBot="1" x14ac:dyDescent="0.25">
      <c r="A57" s="2"/>
      <c r="B57" s="22" t="s">
        <v>21</v>
      </c>
      <c r="C57" s="19">
        <v>0</v>
      </c>
      <c r="D57" s="19">
        <f>U71</f>
        <v>0</v>
      </c>
      <c r="E57" s="20">
        <f>Table2254961738597109815223643[Projected Cost]-Table2254961738597109815223643[Actual Cost]</f>
        <v>0</v>
      </c>
      <c r="F57" s="13"/>
      <c r="K57" s="45" t="s">
        <v>38</v>
      </c>
      <c r="L57" s="46" t="s">
        <v>46</v>
      </c>
      <c r="M57" s="44"/>
      <c r="N57" s="45" t="s">
        <v>38</v>
      </c>
      <c r="O57" s="46" t="s">
        <v>46</v>
      </c>
      <c r="P57" s="44"/>
      <c r="Q57" s="45" t="s">
        <v>38</v>
      </c>
      <c r="R57" s="46" t="s">
        <v>46</v>
      </c>
      <c r="S57" s="44"/>
      <c r="T57" s="45" t="s">
        <v>38</v>
      </c>
      <c r="U57" s="46" t="s">
        <v>46</v>
      </c>
      <c r="V57" s="44"/>
      <c r="W57" s="45" t="s">
        <v>38</v>
      </c>
      <c r="X57" s="46" t="s">
        <v>46</v>
      </c>
    </row>
    <row r="58" spans="1:24" ht="15.75" customHeight="1" x14ac:dyDescent="0.2">
      <c r="A58" s="2"/>
      <c r="B58" s="22" t="s">
        <v>6</v>
      </c>
      <c r="C58" s="19">
        <v>100</v>
      </c>
      <c r="D58" s="19">
        <f>X75</f>
        <v>0</v>
      </c>
      <c r="E58" s="20">
        <f>Table2254961738597109815223643[Projected Cost]-Table2254961738597109815223643[Actual Cost]</f>
        <v>100</v>
      </c>
      <c r="F58" s="13"/>
      <c r="K58" s="47" t="s">
        <v>82</v>
      </c>
      <c r="L58" s="48"/>
      <c r="M58" s="44"/>
      <c r="N58" s="47" t="s">
        <v>73</v>
      </c>
      <c r="O58" s="48"/>
      <c r="P58" s="44"/>
      <c r="Q58" s="47" t="s">
        <v>74</v>
      </c>
      <c r="R58" s="48"/>
      <c r="S58" s="44"/>
      <c r="T58" s="47" t="s">
        <v>49</v>
      </c>
      <c r="U58" s="48"/>
      <c r="V58" s="44"/>
      <c r="W58" s="47"/>
      <c r="X58" s="48"/>
    </row>
    <row r="59" spans="1:24" ht="15.75" customHeight="1" thickBot="1" x14ac:dyDescent="0.25">
      <c r="A59" s="2"/>
      <c r="B59" s="16" t="s">
        <v>33</v>
      </c>
      <c r="C59" s="77">
        <f>SUBTOTAL(109,Table2254961738597109815223643[Projected Cost])</f>
        <v>185</v>
      </c>
      <c r="D59" s="19">
        <f>SUBTOTAL(109,Table2254961738597109815223643[Actual Cost])</f>
        <v>0</v>
      </c>
      <c r="E59" s="21">
        <f>SUBTOTAL(109,Table2254961738597109815223643[Difference])</f>
        <v>185</v>
      </c>
      <c r="F59" s="13"/>
      <c r="K59" s="47"/>
      <c r="L59" s="48"/>
      <c r="M59" s="44"/>
      <c r="N59" s="47"/>
      <c r="O59" s="48"/>
      <c r="P59" s="44"/>
      <c r="Q59" s="47"/>
      <c r="R59" s="48"/>
      <c r="S59" s="44"/>
      <c r="T59" s="47"/>
      <c r="U59" s="48"/>
      <c r="V59" s="44"/>
      <c r="W59" s="47"/>
      <c r="X59" s="48"/>
    </row>
    <row r="60" spans="1:24" ht="15.75" customHeight="1" thickBot="1" x14ac:dyDescent="0.25">
      <c r="A60" s="2"/>
      <c r="F60" s="13"/>
      <c r="K60" s="47"/>
      <c r="L60" s="48"/>
      <c r="M60" s="44"/>
      <c r="N60" s="49" t="s">
        <v>33</v>
      </c>
      <c r="O60" s="50">
        <f>SUM(O58:O59)</f>
        <v>0</v>
      </c>
      <c r="P60" s="44"/>
      <c r="Q60" s="47"/>
      <c r="R60" s="48"/>
      <c r="S60" s="44"/>
      <c r="T60" s="49" t="s">
        <v>33</v>
      </c>
      <c r="U60" s="50">
        <f>SUM(U58:U59)</f>
        <v>0</v>
      </c>
      <c r="V60" s="44"/>
      <c r="W60" s="47"/>
      <c r="X60" s="48"/>
    </row>
    <row r="61" spans="1:24" ht="15.75" customHeight="1" thickBot="1" x14ac:dyDescent="0.25">
      <c r="A61" s="2"/>
      <c r="F61" s="13"/>
      <c r="K61" s="49" t="s">
        <v>33</v>
      </c>
      <c r="L61" s="50">
        <f>SUM(L58:L60)</f>
        <v>0</v>
      </c>
      <c r="M61" s="44"/>
      <c r="N61" s="58"/>
      <c r="O61" s="58"/>
      <c r="P61" s="44"/>
      <c r="Q61" s="47"/>
      <c r="R61" s="48"/>
      <c r="S61" s="44"/>
      <c r="T61" s="58"/>
      <c r="U61" s="58"/>
      <c r="V61" s="44"/>
      <c r="W61" s="47"/>
      <c r="X61" s="48"/>
    </row>
    <row r="62" spans="1:24" ht="15.75" customHeight="1" x14ac:dyDescent="0.2">
      <c r="B62" s="102" t="s">
        <v>30</v>
      </c>
      <c r="C62" s="102"/>
      <c r="D62" s="102"/>
      <c r="E62" s="117">
        <f>SUM(C17,C25,C33,C37,C43,C51,C59)</f>
        <v>2102.5</v>
      </c>
      <c r="K62" s="62"/>
      <c r="L62" s="58"/>
      <c r="M62" s="44"/>
      <c r="N62" s="58"/>
      <c r="O62" s="58"/>
      <c r="P62" s="44"/>
      <c r="Q62" s="47"/>
      <c r="R62" s="48"/>
      <c r="S62" s="44"/>
      <c r="T62" s="58"/>
      <c r="U62" s="58"/>
      <c r="V62" s="44"/>
      <c r="W62" s="47"/>
      <c r="X62" s="48"/>
    </row>
    <row r="63" spans="1:24" ht="13.5" thickBot="1" x14ac:dyDescent="0.25">
      <c r="B63" s="102"/>
      <c r="C63" s="102"/>
      <c r="D63" s="102"/>
      <c r="E63" s="117"/>
      <c r="J63" s="58"/>
      <c r="K63" s="62"/>
      <c r="L63" s="58"/>
      <c r="M63" s="44"/>
      <c r="N63" s="58"/>
      <c r="O63" s="58"/>
      <c r="P63" s="44"/>
      <c r="Q63" s="47"/>
      <c r="R63" s="48"/>
      <c r="S63" s="44"/>
      <c r="T63" s="58"/>
      <c r="U63" s="58"/>
      <c r="V63" s="44"/>
      <c r="W63" s="47"/>
      <c r="X63" s="48"/>
    </row>
    <row r="64" spans="1:24" ht="13.5" thickBot="1" x14ac:dyDescent="0.25">
      <c r="B64" s="102" t="s">
        <v>31</v>
      </c>
      <c r="C64" s="102"/>
      <c r="D64" s="102"/>
      <c r="E64" s="117">
        <f>SUM(D17,D25,D33,D37,D43,D51,D59)</f>
        <v>0</v>
      </c>
      <c r="J64" s="58"/>
      <c r="K64" s="63"/>
      <c r="L64" s="59"/>
      <c r="M64" s="56"/>
      <c r="N64" s="59"/>
      <c r="O64" s="59"/>
      <c r="P64" s="56"/>
      <c r="Q64" s="49" t="s">
        <v>33</v>
      </c>
      <c r="R64" s="50">
        <f>SUM(R58:R63)</f>
        <v>0</v>
      </c>
      <c r="S64" s="56"/>
      <c r="T64" s="59"/>
      <c r="U64" s="59"/>
      <c r="V64" s="56"/>
      <c r="W64" s="49" t="s">
        <v>33</v>
      </c>
      <c r="X64" s="50">
        <f>SUM(X58:X63)</f>
        <v>0</v>
      </c>
    </row>
    <row r="65" spans="2:24" ht="13.5" thickBot="1" x14ac:dyDescent="0.25">
      <c r="B65" s="102"/>
      <c r="C65" s="102"/>
      <c r="D65" s="102"/>
      <c r="E65" s="117"/>
      <c r="J65" s="58"/>
      <c r="K65" s="58"/>
      <c r="L65" s="58"/>
      <c r="M65" s="58"/>
      <c r="N65" s="58"/>
      <c r="O65" s="58"/>
      <c r="P65" s="58"/>
      <c r="S65" s="58"/>
      <c r="T65" s="58"/>
      <c r="U65" s="58"/>
      <c r="V65" s="58"/>
    </row>
    <row r="66" spans="2:24" ht="13.5" thickBot="1" x14ac:dyDescent="0.25">
      <c r="B66" s="102" t="s">
        <v>32</v>
      </c>
      <c r="C66" s="102"/>
      <c r="D66" s="102"/>
      <c r="E66" s="117">
        <f>SUM(E17,E25,E33,E37,E43,E51,E59)</f>
        <v>2102.5</v>
      </c>
      <c r="J66" s="58"/>
      <c r="K66" s="139" t="s">
        <v>76</v>
      </c>
      <c r="L66" s="140"/>
      <c r="M66" s="140"/>
      <c r="N66" s="140"/>
      <c r="O66" s="140"/>
      <c r="P66" s="140"/>
      <c r="Q66" s="140"/>
      <c r="R66" s="140"/>
      <c r="S66" s="140"/>
      <c r="T66" s="140"/>
      <c r="U66" s="140"/>
      <c r="V66" s="140"/>
      <c r="W66" s="140"/>
      <c r="X66" s="141"/>
    </row>
    <row r="67" spans="2:24" ht="13.5" thickBot="1" x14ac:dyDescent="0.25">
      <c r="B67" s="102"/>
      <c r="C67" s="102"/>
      <c r="D67" s="102"/>
      <c r="E67" s="117"/>
      <c r="J67" s="58"/>
      <c r="K67" s="148" t="s">
        <v>41</v>
      </c>
      <c r="L67" s="149"/>
      <c r="M67" s="44"/>
      <c r="N67" s="148" t="s">
        <v>16</v>
      </c>
      <c r="O67" s="149"/>
      <c r="P67" s="44"/>
      <c r="Q67" s="142" t="s">
        <v>17</v>
      </c>
      <c r="R67" s="143"/>
      <c r="S67" s="44"/>
      <c r="T67" s="148" t="s">
        <v>77</v>
      </c>
      <c r="U67" s="149"/>
      <c r="V67" s="44"/>
      <c r="W67" s="142" t="s">
        <v>6</v>
      </c>
      <c r="X67" s="143"/>
    </row>
    <row r="68" spans="2:24" ht="13.5" thickBot="1" x14ac:dyDescent="0.25">
      <c r="J68" s="58"/>
      <c r="K68" s="45" t="s">
        <v>38</v>
      </c>
      <c r="L68" s="46" t="s">
        <v>46</v>
      </c>
      <c r="M68" s="44"/>
      <c r="N68" s="45" t="s">
        <v>38</v>
      </c>
      <c r="O68" s="46" t="s">
        <v>46</v>
      </c>
      <c r="P68" s="44"/>
      <c r="Q68" s="45" t="s">
        <v>38</v>
      </c>
      <c r="R68" s="46" t="s">
        <v>46</v>
      </c>
      <c r="S68" s="44"/>
      <c r="T68" s="45" t="s">
        <v>38</v>
      </c>
      <c r="U68" s="46" t="s">
        <v>46</v>
      </c>
      <c r="V68" s="44"/>
      <c r="W68" s="45" t="s">
        <v>38</v>
      </c>
      <c r="X68" s="46" t="s">
        <v>46</v>
      </c>
    </row>
    <row r="69" spans="2:24" x14ac:dyDescent="0.2">
      <c r="J69" s="58"/>
      <c r="K69" s="47" t="s">
        <v>72</v>
      </c>
      <c r="L69" s="48"/>
      <c r="M69" s="44"/>
      <c r="N69" s="47" t="s">
        <v>43</v>
      </c>
      <c r="O69" s="48"/>
      <c r="P69" s="44"/>
      <c r="Q69" s="47" t="s">
        <v>78</v>
      </c>
      <c r="R69" s="48"/>
      <c r="S69" s="44"/>
      <c r="T69" s="47" t="s">
        <v>79</v>
      </c>
      <c r="U69" s="48"/>
      <c r="V69" s="44"/>
      <c r="W69" s="47"/>
      <c r="X69" s="48"/>
    </row>
    <row r="70" spans="2:24" ht="13.5" thickBot="1" x14ac:dyDescent="0.25">
      <c r="K70" s="47"/>
      <c r="L70" s="48"/>
      <c r="M70" s="44"/>
      <c r="N70" s="47"/>
      <c r="O70" s="48"/>
      <c r="P70" s="44"/>
      <c r="Q70" s="47"/>
      <c r="R70" s="48"/>
      <c r="S70" s="44"/>
      <c r="T70" s="47"/>
      <c r="U70" s="48"/>
      <c r="V70" s="44"/>
      <c r="W70" s="47"/>
      <c r="X70" s="48"/>
    </row>
    <row r="71" spans="2:24" ht="13.5" thickBot="1" x14ac:dyDescent="0.25">
      <c r="K71" s="47"/>
      <c r="L71" s="48"/>
      <c r="M71" s="44"/>
      <c r="N71" s="49" t="s">
        <v>33</v>
      </c>
      <c r="O71" s="50">
        <f>SUM(O69:O70)</f>
        <v>0</v>
      </c>
      <c r="P71" s="44"/>
      <c r="Q71" s="49" t="s">
        <v>33</v>
      </c>
      <c r="R71" s="50">
        <f>SUM(R69:R70)</f>
        <v>0</v>
      </c>
      <c r="S71" s="44"/>
      <c r="T71" s="49" t="s">
        <v>33</v>
      </c>
      <c r="U71" s="50">
        <f>SUM(U69:U70)</f>
        <v>0</v>
      </c>
      <c r="V71" s="44"/>
      <c r="W71" s="47"/>
      <c r="X71" s="48"/>
    </row>
    <row r="72" spans="2:24" ht="13.5" thickBot="1" x14ac:dyDescent="0.25">
      <c r="K72" s="49" t="s">
        <v>33</v>
      </c>
      <c r="L72" s="50">
        <f>SUM(L69:L71)</f>
        <v>0</v>
      </c>
      <c r="M72" s="44"/>
      <c r="N72" s="58"/>
      <c r="O72" s="58"/>
      <c r="P72" s="44"/>
      <c r="Q72" s="58"/>
      <c r="R72" s="58"/>
      <c r="S72" s="44"/>
      <c r="T72" s="58"/>
      <c r="U72" s="58"/>
      <c r="V72" s="44"/>
      <c r="W72" s="47"/>
      <c r="X72" s="48"/>
    </row>
    <row r="73" spans="2:24" x14ac:dyDescent="0.2">
      <c r="K73" s="62"/>
      <c r="L73" s="58"/>
      <c r="M73" s="44"/>
      <c r="N73" s="58"/>
      <c r="O73" s="58"/>
      <c r="P73" s="44"/>
      <c r="Q73" s="58"/>
      <c r="R73" s="58"/>
      <c r="S73" s="44"/>
      <c r="T73" s="58"/>
      <c r="U73" s="58"/>
      <c r="V73" s="44"/>
      <c r="W73" s="47"/>
      <c r="X73" s="48"/>
    </row>
    <row r="74" spans="2:24" ht="13.5" thickBot="1" x14ac:dyDescent="0.25">
      <c r="K74" s="62"/>
      <c r="L74" s="58"/>
      <c r="M74" s="44"/>
      <c r="N74" s="58"/>
      <c r="O74" s="58"/>
      <c r="P74" s="44"/>
      <c r="Q74" s="58"/>
      <c r="R74" s="58"/>
      <c r="S74" s="44"/>
      <c r="T74" s="58"/>
      <c r="U74" s="58"/>
      <c r="V74" s="44"/>
      <c r="W74" s="47"/>
      <c r="X74" s="48"/>
    </row>
    <row r="75" spans="2:24" ht="13.5" thickBot="1" x14ac:dyDescent="0.25">
      <c r="K75" s="63"/>
      <c r="L75" s="59"/>
      <c r="M75" s="56"/>
      <c r="N75" s="59"/>
      <c r="O75" s="59"/>
      <c r="P75" s="56"/>
      <c r="Q75" s="59"/>
      <c r="R75" s="59"/>
      <c r="S75" s="56"/>
      <c r="T75" s="59"/>
      <c r="U75" s="59"/>
      <c r="V75" s="56"/>
      <c r="W75" s="49" t="s">
        <v>33</v>
      </c>
      <c r="X75" s="50">
        <f>SUM(X69:X74)</f>
        <v>0</v>
      </c>
    </row>
  </sheetData>
  <mergeCells count="64">
    <mergeCell ref="K66:X66"/>
    <mergeCell ref="K67:L67"/>
    <mergeCell ref="N67:O67"/>
    <mergeCell ref="Q67:R67"/>
    <mergeCell ref="T67:U67"/>
    <mergeCell ref="W67:X67"/>
    <mergeCell ref="B62:D63"/>
    <mergeCell ref="E62:E63"/>
    <mergeCell ref="B64:D65"/>
    <mergeCell ref="E64:E65"/>
    <mergeCell ref="B66:D67"/>
    <mergeCell ref="E66:E67"/>
    <mergeCell ref="B44:E44"/>
    <mergeCell ref="K55:X55"/>
    <mergeCell ref="K56:L56"/>
    <mergeCell ref="N56:O56"/>
    <mergeCell ref="Q56:R56"/>
    <mergeCell ref="T56:U56"/>
    <mergeCell ref="W56:X56"/>
    <mergeCell ref="B34:E34"/>
    <mergeCell ref="B38:E38"/>
    <mergeCell ref="K42:L42"/>
    <mergeCell ref="N42:U42"/>
    <mergeCell ref="N43:O43"/>
    <mergeCell ref="Q43:R43"/>
    <mergeCell ref="T43:U43"/>
    <mergeCell ref="B26:E26"/>
    <mergeCell ref="K31:X31"/>
    <mergeCell ref="K32:L32"/>
    <mergeCell ref="N32:O32"/>
    <mergeCell ref="Q32:R32"/>
    <mergeCell ref="T32:U32"/>
    <mergeCell ref="W32:X32"/>
    <mergeCell ref="K24:X24"/>
    <mergeCell ref="K25:L25"/>
    <mergeCell ref="N25:O25"/>
    <mergeCell ref="Q25:R25"/>
    <mergeCell ref="T25:U25"/>
    <mergeCell ref="W25:X25"/>
    <mergeCell ref="H11:I11"/>
    <mergeCell ref="K11:X11"/>
    <mergeCell ref="K12:L12"/>
    <mergeCell ref="N12:O12"/>
    <mergeCell ref="Q12:R12"/>
    <mergeCell ref="T12:U12"/>
    <mergeCell ref="W12:X12"/>
    <mergeCell ref="B7:B9"/>
    <mergeCell ref="C7:D7"/>
    <mergeCell ref="C8:D8"/>
    <mergeCell ref="G8:K9"/>
    <mergeCell ref="L8:L9"/>
    <mergeCell ref="C9:D9"/>
    <mergeCell ref="Q5:R5"/>
    <mergeCell ref="T5:U5"/>
    <mergeCell ref="W5:X5"/>
    <mergeCell ref="C6:D6"/>
    <mergeCell ref="G6:K7"/>
    <mergeCell ref="L6:L7"/>
    <mergeCell ref="B3:D3"/>
    <mergeCell ref="B4:B6"/>
    <mergeCell ref="C4:D4"/>
    <mergeCell ref="G4:K5"/>
    <mergeCell ref="L4:L5"/>
    <mergeCell ref="C5:D5"/>
  </mergeCells>
  <conditionalFormatting sqref="E54:E59 E28:E33 E20:E25 E36:E37 E40:E43 E46:E51">
    <cfRule type="iconSet" priority="2">
      <iconSet iconSet="3Signs">
        <cfvo type="percent" val="0"/>
        <cfvo type="num" val="-20"/>
        <cfvo type="num" val="0"/>
      </iconSet>
    </cfRule>
  </conditionalFormatting>
  <conditionalFormatting sqref="E12:E18">
    <cfRule type="iconSet" priority="1">
      <iconSet iconSet="3Signs">
        <cfvo type="percent" val="0"/>
        <cfvo type="num" val="-20"/>
        <cfvo type="num" val="0"/>
      </iconSet>
    </cfRule>
  </conditionalFormatting>
  <pageMargins left="0.5" right="0.5" top="0.5" bottom="0.5" header="0.5" footer="0.5"/>
  <pageSetup orientation="portrait" r:id="rId1"/>
  <headerFooter alignWithMargins="0"/>
  <ignoredErrors>
    <ignoredError sqref="D28:D32 D40:D42 D46:D50" calculatedColumn="1"/>
  </ignoredErrors>
  <drawing r:id="rId2"/>
  <tableParts count="7">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Starting Page</vt:lpstr>
      <vt:lpstr>School Year Summary</vt:lpstr>
      <vt:lpstr>Sep</vt:lpstr>
      <vt:lpstr>Oct</vt:lpstr>
      <vt:lpstr>Nov</vt:lpstr>
      <vt:lpstr>Dec</vt:lpstr>
      <vt:lpstr>Jan</vt:lpstr>
      <vt:lpstr>Feb</vt:lpstr>
      <vt:lpstr>Mar</vt:lpstr>
      <vt:lpstr>Apr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CAA SCO</dc:creator>
  <cp:lastModifiedBy>Windows User</cp:lastModifiedBy>
  <cp:lastPrinted>2013-03-05T19:17:49Z</cp:lastPrinted>
  <dcterms:created xsi:type="dcterms:W3CDTF">2002-11-14T18:47:55Z</dcterms:created>
  <dcterms:modified xsi:type="dcterms:W3CDTF">2020-11-09T17:37:45Z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